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299" firstSheet="2" activeTab="4"/>
  </bookViews>
  <sheets>
    <sheet name="summary" sheetId="1" r:id="rId1"/>
    <sheet name="salary" sheetId="2" r:id="rId2"/>
    <sheet name="FY 14-15" sheetId="3" r:id="rId3"/>
    <sheet name="FY 13-14" sheetId="4" r:id="rId4"/>
    <sheet name="Benefit Pop" sheetId="5" r:id="rId5"/>
  </sheets>
  <definedNames>
    <definedName name="_xlnm.Print_Area" localSheetId="3">'FY 13-14'!$A$1:$I$41</definedName>
    <definedName name="_xlnm.Print_Area" localSheetId="2">'FY 14-15'!$A$1:$I$36</definedName>
    <definedName name="_xlnm.Print_Area" localSheetId="1">'salary'!$C$1:$T$91</definedName>
    <definedName name="_xlnm.Print_Area" localSheetId="0">'summary'!$A$1:$F$13</definedName>
  </definedNames>
  <calcPr fullCalcOnLoad="1"/>
</workbook>
</file>

<file path=xl/sharedStrings.xml><?xml version="1.0" encoding="utf-8"?>
<sst xmlns="http://schemas.openxmlformats.org/spreadsheetml/2006/main" count="804" uniqueCount="298">
  <si>
    <t>Enrollment</t>
  </si>
  <si>
    <t>Single</t>
  </si>
  <si>
    <t>2 Person</t>
  </si>
  <si>
    <t>Family</t>
  </si>
  <si>
    <t>Monthly</t>
  </si>
  <si>
    <t>all plans monthly total</t>
  </si>
  <si>
    <t>all plans annual total</t>
  </si>
  <si>
    <t>Cost Share</t>
  </si>
  <si>
    <t>Employee Share</t>
  </si>
  <si>
    <t>Net City Cost</t>
  </si>
  <si>
    <t>Savings</t>
  </si>
  <si>
    <t>Total Net City Cost</t>
  </si>
  <si>
    <t xml:space="preserve">Annual </t>
  </si>
  <si>
    <t>Century Preffered PPO New</t>
  </si>
  <si>
    <t>BlueCare POE             New</t>
  </si>
  <si>
    <t xml:space="preserve">Century Preff Comp Mix    New </t>
  </si>
  <si>
    <t xml:space="preserve">Lumnenos HDHP HIA    New </t>
  </si>
  <si>
    <t>Rates based upon fully insured equivalent rates Anthem 2013 renewal</t>
  </si>
  <si>
    <t>Enrollment assumes Employees in PPO stay in PPO, and those in Bluecare stay in Bluecare</t>
  </si>
  <si>
    <t>Assumptions</t>
  </si>
  <si>
    <t>Any movement into Comp Mix or Lumenos increases savings</t>
  </si>
  <si>
    <t>EMP#</t>
  </si>
  <si>
    <t>LAST NAME</t>
  </si>
  <si>
    <t>FIRST NAME</t>
  </si>
  <si>
    <t>MI</t>
  </si>
  <si>
    <t>BIRTH DT</t>
  </si>
  <si>
    <t>HIRE DT</t>
  </si>
  <si>
    <t>G</t>
  </si>
  <si>
    <t>BGUN</t>
  </si>
  <si>
    <t>M_DED</t>
  </si>
  <si>
    <t>MED_DESCRIPTION</t>
  </si>
  <si>
    <t>MED_COV</t>
  </si>
  <si>
    <t>D_DED</t>
  </si>
  <si>
    <t>DEN_DESCRIPTION</t>
  </si>
  <si>
    <t>DEN_COV</t>
  </si>
  <si>
    <t>BOMBACE</t>
  </si>
  <si>
    <t>ROBERT</t>
  </si>
  <si>
    <t>M</t>
  </si>
  <si>
    <t>V40</t>
  </si>
  <si>
    <t>221 CENTPREF LOCAL 71 CP2-1</t>
  </si>
  <si>
    <t>SINGLE</t>
  </si>
  <si>
    <t>221 LOCAL 71 DENTAL1</t>
  </si>
  <si>
    <t>POLITE</t>
  </si>
  <si>
    <t>L</t>
  </si>
  <si>
    <t>USCILLA</t>
  </si>
  <si>
    <t>BARBARA</t>
  </si>
  <si>
    <t>E</t>
  </si>
  <si>
    <t>F</t>
  </si>
  <si>
    <t>BONNER</t>
  </si>
  <si>
    <t>BARRY</t>
  </si>
  <si>
    <t>221 CENTPREF LOCAL 71 CP2-2</t>
  </si>
  <si>
    <t>COUPLE</t>
  </si>
  <si>
    <t>221 LOCAL 71 DENTAL2</t>
  </si>
  <si>
    <t>CANALORI</t>
  </si>
  <si>
    <t>W</t>
  </si>
  <si>
    <t>V35</t>
  </si>
  <si>
    <t>DICHELLO</t>
  </si>
  <si>
    <t>ANGELO</t>
  </si>
  <si>
    <t>FERRAIOLO</t>
  </si>
  <si>
    <t>DONALD</t>
  </si>
  <si>
    <t>CASTELLI</t>
  </si>
  <si>
    <t>THOMAS</t>
  </si>
  <si>
    <t>221 CENTPREF LOCAL 71 CP2-3</t>
  </si>
  <si>
    <t>FAMILY</t>
  </si>
  <si>
    <t>221 LOCAL 71 DENTAL3</t>
  </si>
  <si>
    <t>LYNCH</t>
  </si>
  <si>
    <t>JAMES</t>
  </si>
  <si>
    <t>ZEMBROWSKI</t>
  </si>
  <si>
    <t>JOSEPH</t>
  </si>
  <si>
    <t>S</t>
  </si>
  <si>
    <t>BROOKS</t>
  </si>
  <si>
    <t>CHARLES</t>
  </si>
  <si>
    <t>H</t>
  </si>
  <si>
    <t>321 BLUECARE LOCAL 71 BC1-1</t>
  </si>
  <si>
    <t>CERESI</t>
  </si>
  <si>
    <t>STEVEN</t>
  </si>
  <si>
    <t>FLYNN</t>
  </si>
  <si>
    <t>GALBERTH</t>
  </si>
  <si>
    <t>KEITH</t>
  </si>
  <si>
    <t>MAGLIOCHETTI</t>
  </si>
  <si>
    <t>JOHN</t>
  </si>
  <si>
    <t>MARTINDALE</t>
  </si>
  <si>
    <t>CHRIS</t>
  </si>
  <si>
    <t>MCCOY</t>
  </si>
  <si>
    <t>DENNIS</t>
  </si>
  <si>
    <t>MCGILTON</t>
  </si>
  <si>
    <t>PAUL</t>
  </si>
  <si>
    <t>MESNER</t>
  </si>
  <si>
    <t>J</t>
  </si>
  <si>
    <t>PUGLIA</t>
  </si>
  <si>
    <t>RONALD</t>
  </si>
  <si>
    <t>A</t>
  </si>
  <si>
    <t>TATE</t>
  </si>
  <si>
    <t>CLAUDE</t>
  </si>
  <si>
    <t>WANKOWICZ</t>
  </si>
  <si>
    <t>CHAISSON</t>
  </si>
  <si>
    <t>WILFRED</t>
  </si>
  <si>
    <t>321 BLUECARE LOCAL 71 BC1-2</t>
  </si>
  <si>
    <t>CRONA</t>
  </si>
  <si>
    <t>RANDALL</t>
  </si>
  <si>
    <t>DEROSE</t>
  </si>
  <si>
    <t>GRAY</t>
  </si>
  <si>
    <t>GERARD</t>
  </si>
  <si>
    <t>KORRICK</t>
  </si>
  <si>
    <t>CARLA</t>
  </si>
  <si>
    <t>LAROCHE</t>
  </si>
  <si>
    <t>GARY</t>
  </si>
  <si>
    <t>P</t>
  </si>
  <si>
    <t>MELOTTI</t>
  </si>
  <si>
    <t>FRANK</t>
  </si>
  <si>
    <t>ORTIZ</t>
  </si>
  <si>
    <t>DALILA</t>
  </si>
  <si>
    <t>FRED</t>
  </si>
  <si>
    <t>SANTIAGO</t>
  </si>
  <si>
    <t>BENJAMIN</t>
  </si>
  <si>
    <t>SEALEY</t>
  </si>
  <si>
    <t>HENRIQUE</t>
  </si>
  <si>
    <t>TRAYNHAM</t>
  </si>
  <si>
    <t>WALTER</t>
  </si>
  <si>
    <t>CAPUANO</t>
  </si>
  <si>
    <t>ANTHONY</t>
  </si>
  <si>
    <t>321 BLUECARE LOCAL 71 BC1-3</t>
  </si>
  <si>
    <t>GOGLIETTINO</t>
  </si>
  <si>
    <t>RICHARD</t>
  </si>
  <si>
    <t>HERIOT</t>
  </si>
  <si>
    <t>HEWSTON</t>
  </si>
  <si>
    <t>TAMMY</t>
  </si>
  <si>
    <t>JOHNSON</t>
  </si>
  <si>
    <t>STANLEY</t>
  </si>
  <si>
    <t>LAMOUREUX</t>
  </si>
  <si>
    <t>DANIEL</t>
  </si>
  <si>
    <t>LAUDANO</t>
  </si>
  <si>
    <t>LOUIS</t>
  </si>
  <si>
    <t>LAWLOR</t>
  </si>
  <si>
    <t>PATRICK</t>
  </si>
  <si>
    <t>LEARY</t>
  </si>
  <si>
    <t>DOMINIC</t>
  </si>
  <si>
    <t>MARTINEZ</t>
  </si>
  <si>
    <t>HECTOR</t>
  </si>
  <si>
    <t>PADUA</t>
  </si>
  <si>
    <t>PETELL</t>
  </si>
  <si>
    <t>SCOTT</t>
  </si>
  <si>
    <t>REICHBART</t>
  </si>
  <si>
    <t>D</t>
  </si>
  <si>
    <t>REY</t>
  </si>
  <si>
    <t>ISMAEL</t>
  </si>
  <si>
    <t>RODRIGUEZ</t>
  </si>
  <si>
    <t>EDWIN</t>
  </si>
  <si>
    <t>RYAN</t>
  </si>
  <si>
    <t>JEFFREY</t>
  </si>
  <si>
    <t>SEHL</t>
  </si>
  <si>
    <t>SMITH</t>
  </si>
  <si>
    <t>TIRRELL</t>
  </si>
  <si>
    <t>SOMERS</t>
  </si>
  <si>
    <t>TAYLOR</t>
  </si>
  <si>
    <t>JODY</t>
  </si>
  <si>
    <t>WOODS</t>
  </si>
  <si>
    <t>ANDRE</t>
  </si>
  <si>
    <t>DAVIS</t>
  </si>
  <si>
    <t>JEROME</t>
  </si>
  <si>
    <t>421 BLUECARE LOCAL 71 BC2-1</t>
  </si>
  <si>
    <t>YURA</t>
  </si>
  <si>
    <t>STEPHEN</t>
  </si>
  <si>
    <t>MICHAEL</t>
  </si>
  <si>
    <t>421 BLUECARE LOCAL 71 BC2-2</t>
  </si>
  <si>
    <t>WILLIAMS</t>
  </si>
  <si>
    <t>Local 71 Benefit Population Summary 7-15-12</t>
  </si>
  <si>
    <t>421 BLUECARE LOCAL 71 BC2-3</t>
  </si>
  <si>
    <t xml:space="preserve">No Benefits </t>
  </si>
  <si>
    <t>Local 71  BC 2        Division 490</t>
  </si>
  <si>
    <t>Local 71 Century Pref PPO Div 221</t>
  </si>
  <si>
    <t>Local 71 BC 1        Division 321</t>
  </si>
  <si>
    <t>Local 71</t>
  </si>
  <si>
    <t>Weekly</t>
  </si>
  <si>
    <t>Employee Cost Share Calculation</t>
  </si>
  <si>
    <t xml:space="preserve">Lumenos HDHP  HIA    New </t>
  </si>
  <si>
    <t>Savings   Year 1 assumes 6 months</t>
  </si>
  <si>
    <t xml:space="preserve">Two year savings </t>
  </si>
  <si>
    <t>LOCAL 71 - ARBITRATION AWARD - SALARY IMPACT</t>
  </si>
  <si>
    <t>Agency/Organization</t>
  </si>
  <si>
    <t>Old contract</t>
  </si>
  <si>
    <t>New contract</t>
  </si>
  <si>
    <t>New Contract</t>
  </si>
  <si>
    <t>3% - no Retro</t>
  </si>
  <si>
    <t>2% - upon BOA Action</t>
  </si>
  <si>
    <t>Position #, Title</t>
  </si>
  <si>
    <t>Emp #</t>
  </si>
  <si>
    <t>Class Code</t>
  </si>
  <si>
    <t>R</t>
  </si>
  <si>
    <t>FY 13-14 BOA Approved - FY 09-10 salary</t>
  </si>
  <si>
    <t>FY 10-11</t>
  </si>
  <si>
    <t>FY 11-12</t>
  </si>
  <si>
    <t>FY 12-13</t>
  </si>
  <si>
    <t>FY 13-14</t>
  </si>
  <si>
    <t>FY 14-15</t>
  </si>
  <si>
    <t>Building Attendant II</t>
  </si>
  <si>
    <t>Polite Robert</t>
  </si>
  <si>
    <t>Yura Stephen</t>
  </si>
  <si>
    <t>Caretaker</t>
  </si>
  <si>
    <t>***VACANT***</t>
  </si>
  <si>
    <t>Bonner Barry</t>
  </si>
  <si>
    <t>Flynn James</t>
  </si>
  <si>
    <t>Galberth Keith</t>
  </si>
  <si>
    <t>Leary Daniel</t>
  </si>
  <si>
    <t>Lynch James</t>
  </si>
  <si>
    <t>Magliochetti Dominic</t>
  </si>
  <si>
    <t>Magliochetti John</t>
  </si>
  <si>
    <t>Martinez Hector</t>
  </si>
  <si>
    <t>McCoy Dennis</t>
  </si>
  <si>
    <t>Melotti Frank</t>
  </si>
  <si>
    <t>Padua James Jr</t>
  </si>
  <si>
    <t>Rodriguez Edwin</t>
  </si>
  <si>
    <t>Rosick Teresa</t>
  </si>
  <si>
    <t>Santiago Benjamin</t>
  </si>
  <si>
    <t>Sealey Henrique</t>
  </si>
  <si>
    <t>Taylor Jody</t>
  </si>
  <si>
    <t>Woods Andre</t>
  </si>
  <si>
    <t xml:space="preserve">Caretaker </t>
  </si>
  <si>
    <t>Laudano Louis</t>
  </si>
  <si>
    <t>Traynham Walter</t>
  </si>
  <si>
    <t>Caretaker III</t>
  </si>
  <si>
    <t>Brooks Charles</t>
  </si>
  <si>
    <t>Electrician</t>
  </si>
  <si>
    <t>Wankowicz James</t>
  </si>
  <si>
    <t>Fire Bldg Maint Mechanic</t>
  </si>
  <si>
    <t>Lawlor  Patrick</t>
  </si>
  <si>
    <t>Fire Prop &amp; Equip Tech</t>
  </si>
  <si>
    <t>Groundsman</t>
  </si>
  <si>
    <t>Gary Gerard</t>
  </si>
  <si>
    <t>Groundsman Worker II</t>
  </si>
  <si>
    <t>McGilton Paul</t>
  </si>
  <si>
    <t>Heavy Equip Oper II</t>
  </si>
  <si>
    <t>Johnson Stanley</t>
  </si>
  <si>
    <t>Kennel Worker</t>
  </si>
  <si>
    <t>Ortiz Dalila</t>
  </si>
  <si>
    <t>Uscilla Barbara</t>
  </si>
  <si>
    <t>Maint/Spare Bridge Tender</t>
  </si>
  <si>
    <t>Bombace Robert</t>
  </si>
  <si>
    <t>Cuomo John</t>
  </si>
  <si>
    <t>Dichello Angelo</t>
  </si>
  <si>
    <t>Evans Josiah</t>
  </si>
  <si>
    <t>Ferrucci Arthur</t>
  </si>
  <si>
    <t>Heriot Gary</t>
  </si>
  <si>
    <t>Johnson Michael</t>
  </si>
  <si>
    <t>Puglia Ronald</t>
  </si>
  <si>
    <t>Mason</t>
  </si>
  <si>
    <t>Mun Asst Animal Cont Ofcr</t>
  </si>
  <si>
    <t>Davis Jerome</t>
  </si>
  <si>
    <t>Hewston Tammy</t>
  </si>
  <si>
    <t>Park Mechanic</t>
  </si>
  <si>
    <t>Ceresi Steven</t>
  </si>
  <si>
    <t>Parks Foreperson</t>
  </si>
  <si>
    <t>Sehl John</t>
  </si>
  <si>
    <t>Tate Claude</t>
  </si>
  <si>
    <t>Plumber</t>
  </si>
  <si>
    <t>DeRose Robert</t>
  </si>
  <si>
    <t>Police Mechanic</t>
  </si>
  <si>
    <t>Castelli Thomas</t>
  </si>
  <si>
    <t>Eliason Sean</t>
  </si>
  <si>
    <t>Williams John</t>
  </si>
  <si>
    <t>Zembrowski Jospeh</t>
  </si>
  <si>
    <t>Property Maint Worker I</t>
  </si>
  <si>
    <t>Laroche Gary</t>
  </si>
  <si>
    <t>Public Works Foreperson - Bridges</t>
  </si>
  <si>
    <t>Gogliettino Richard</t>
  </si>
  <si>
    <t>Special Mechanic</t>
  </si>
  <si>
    <t>Gillis David</t>
  </si>
  <si>
    <t xml:space="preserve">Special Mechanic Fire </t>
  </si>
  <si>
    <t>Lamoureux Danile A.</t>
  </si>
  <si>
    <t>Tree Trimmer II</t>
  </si>
  <si>
    <t>Martindale Christopher</t>
  </si>
  <si>
    <t>Petell Scott</t>
  </si>
  <si>
    <t>Ryan Jeffrey</t>
  </si>
  <si>
    <t>Welder</t>
  </si>
  <si>
    <t>Chaisson Wilfred</t>
  </si>
  <si>
    <t>FY 13-14  BOA APPROVED</t>
  </si>
  <si>
    <t>TOTAL  INCREASE OVER  CURRENT BUDGET</t>
  </si>
  <si>
    <t>1/2 YEAR IMPACT</t>
  </si>
  <si>
    <t>TOTAL IMPACT</t>
  </si>
  <si>
    <t xml:space="preserve">    1/2 YEAR FY 13-14</t>
  </si>
  <si>
    <t>FY 14-15 FULL YEAR</t>
  </si>
  <si>
    <t>LOCAL 71 - ARBITRATION AWARD</t>
  </si>
  <si>
    <t>Summary of Savings - Current vs. Proposed 2013 Final Renewal Rates  - FY 14-15</t>
  </si>
  <si>
    <t>Summary of Savings - Current vs. Proposed 2013 Final Renewal Rates    - FY 13-14</t>
  </si>
  <si>
    <t>SAVINGS</t>
  </si>
  <si>
    <t>1/2 YEAR</t>
  </si>
  <si>
    <t>PROJECTED ARC SAVINGS 3% OF PAYROLL</t>
  </si>
  <si>
    <t>PENSION INCREASED EMPLOYEE SHARE</t>
  </si>
  <si>
    <t>PENSION ESTIMATED SAVINGS</t>
  </si>
  <si>
    <t>OVERTIME</t>
  </si>
  <si>
    <t>PROJECTED OVERTME FY 13-14 JAN - June</t>
  </si>
  <si>
    <t>PROJECTED OVERTME FY 14-15</t>
  </si>
  <si>
    <t>1) SALARY  - 0%, 0%, 3%, 2%, 2% (NO RETRO)</t>
  </si>
  <si>
    <t>2) OVERTIME 0%, 0%, 3%, 2%,2%</t>
  </si>
  <si>
    <t>3) MEDICAL</t>
  </si>
  <si>
    <t>5) PENSION PROJECTED ANNUAL REQUIRED CONTRIBUTIONS SAVINGS (3% OF PAYROLL)</t>
  </si>
  <si>
    <t>6) MEAL ALLOWANCE - ELIMINATED</t>
  </si>
  <si>
    <t>4) PENSION INCREASED CONTRIBUTION from 8% to 8.5% in FY 13-14 and to 9% in FY 14-15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</si>
</sst>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&quot;/&quot;dd&quot;/&quot;yyyy"/>
    <numFmt numFmtId="166" formatCode="_(* #,##0_);_(* \(#,##0\);_(* &quot;-&quot;??_);_(@_)"/>
    <numFmt numFmtId="167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.1"/>
      <color indexed="8"/>
      <name val="Times New Roman"/>
      <family val="0"/>
    </font>
    <font>
      <sz val="10.1"/>
      <color indexed="8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.5"/>
      <color indexed="8"/>
      <name val="Arial"/>
      <family val="2"/>
    </font>
    <font>
      <u val="singleAccounting"/>
      <sz val="10"/>
      <name val="Arial"/>
      <family val="0"/>
    </font>
    <font>
      <b/>
      <sz val="14"/>
      <name val="Arial"/>
      <family val="2"/>
    </font>
    <font>
      <u val="singleAccounting"/>
      <sz val="10"/>
      <color indexed="8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7" fillId="17" borderId="0" applyNumberFormat="0" applyBorder="0" applyAlignment="0" applyProtection="0"/>
    <xf numFmtId="0" fontId="21" fillId="9" borderId="1" applyNumberFormat="0" applyAlignment="0" applyProtection="0"/>
    <xf numFmtId="0" fontId="2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3" fillId="18" borderId="0" xfId="0" applyFont="1" applyFill="1" applyAlignment="1">
      <alignment vertical="center"/>
    </xf>
    <xf numFmtId="164" fontId="3" fillId="18" borderId="0" xfId="0" applyNumberFormat="1" applyFont="1" applyFill="1" applyAlignment="1">
      <alignment vertical="center"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right"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164" fontId="0" fillId="0" borderId="24" xfId="0" applyNumberForma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3" xfId="0" applyFont="1" applyBorder="1" applyAlignment="1">
      <alignment horizontal="right"/>
    </xf>
    <xf numFmtId="164" fontId="0" fillId="0" borderId="13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1" fillId="0" borderId="25" xfId="0" applyNumberFormat="1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18" borderId="10" xfId="0" applyFont="1" applyFill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164" fontId="3" fillId="18" borderId="0" xfId="0" applyNumberFormat="1" applyFont="1" applyFill="1" applyBorder="1" applyAlignment="1">
      <alignment vertical="center"/>
    </xf>
    <xf numFmtId="10" fontId="0" fillId="0" borderId="11" xfId="0" applyNumberFormat="1" applyBorder="1" applyAlignment="1">
      <alignment horizontal="center"/>
    </xf>
    <xf numFmtId="164" fontId="3" fillId="18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>
      <alignment/>
      <protection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64" fontId="1" fillId="0" borderId="13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33" fillId="0" borderId="0" xfId="42" applyNumberFormat="1" applyFont="1" applyFill="1" applyBorder="1" applyAlignment="1" applyProtection="1">
      <alignment horizontal="left"/>
      <protection locked="0"/>
    </xf>
    <xf numFmtId="0" fontId="33" fillId="0" borderId="0" xfId="42" applyNumberFormat="1" applyFont="1" applyFill="1" applyBorder="1" applyAlignment="1">
      <alignment horizontal="right"/>
    </xf>
    <xf numFmtId="166" fontId="31" fillId="0" borderId="0" xfId="42" applyNumberFormat="1" applyFont="1" applyFill="1" applyBorder="1" applyAlignment="1">
      <alignment horizontal="center"/>
    </xf>
    <xf numFmtId="166" fontId="33" fillId="0" borderId="0" xfId="42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166" fontId="34" fillId="0" borderId="27" xfId="42" applyNumberFormat="1" applyFont="1" applyFill="1" applyBorder="1" applyAlignment="1">
      <alignment/>
    </xf>
    <xf numFmtId="166" fontId="31" fillId="0" borderId="28" xfId="42" applyNumberFormat="1" applyFont="1" applyFill="1" applyBorder="1" applyAlignment="1">
      <alignment/>
    </xf>
    <xf numFmtId="0" fontId="33" fillId="0" borderId="28" xfId="42" applyNumberFormat="1" applyFont="1" applyFill="1" applyBorder="1" applyAlignment="1" applyProtection="1">
      <alignment horizontal="left"/>
      <protection locked="0"/>
    </xf>
    <xf numFmtId="166" fontId="33" fillId="0" borderId="28" xfId="42" applyNumberFormat="1" applyFont="1" applyFill="1" applyBorder="1" applyAlignment="1" applyProtection="1">
      <alignment horizontal="left"/>
      <protection locked="0"/>
    </xf>
    <xf numFmtId="166" fontId="31" fillId="0" borderId="28" xfId="42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1" fillId="0" borderId="30" xfId="0" applyFont="1" applyFill="1" applyBorder="1" applyAlignment="1">
      <alignment/>
    </xf>
    <xf numFmtId="166" fontId="34" fillId="0" borderId="30" xfId="42" applyNumberFormat="1" applyFont="1" applyFill="1" applyBorder="1" applyAlignment="1">
      <alignment/>
    </xf>
    <xf numFmtId="166" fontId="31" fillId="0" borderId="0" xfId="42" applyNumberFormat="1" applyFont="1" applyFill="1" applyBorder="1" applyAlignment="1">
      <alignment/>
    </xf>
    <xf numFmtId="0" fontId="33" fillId="0" borderId="0" xfId="42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9" fontId="1" fillId="0" borderId="0" xfId="60" applyFont="1" applyFill="1" applyBorder="1" applyAlignment="1">
      <alignment horizontal="center"/>
    </xf>
    <xf numFmtId="9" fontId="1" fillId="0" borderId="0" xfId="60" applyFont="1" applyFill="1" applyBorder="1" applyAlignment="1">
      <alignment horizontal="center" wrapText="1" shrinkToFit="1"/>
    </xf>
    <xf numFmtId="9" fontId="1" fillId="0" borderId="31" xfId="60" applyFont="1" applyFill="1" applyBorder="1" applyAlignment="1">
      <alignment horizontal="center" wrapText="1" shrinkToFit="1"/>
    </xf>
    <xf numFmtId="0" fontId="31" fillId="0" borderId="32" xfId="0" applyFont="1" applyFill="1" applyBorder="1" applyAlignment="1">
      <alignment/>
    </xf>
    <xf numFmtId="0" fontId="31" fillId="0" borderId="33" xfId="0" applyFont="1" applyFill="1" applyBorder="1" applyAlignment="1">
      <alignment/>
    </xf>
    <xf numFmtId="166" fontId="33" fillId="0" borderId="32" xfId="42" applyNumberFormat="1" applyFont="1" applyFill="1" applyBorder="1" applyAlignment="1" applyProtection="1">
      <alignment horizontal="left"/>
      <protection locked="0"/>
    </xf>
    <xf numFmtId="166" fontId="33" fillId="0" borderId="33" xfId="42" applyNumberFormat="1" applyFont="1" applyFill="1" applyBorder="1" applyAlignment="1" applyProtection="1">
      <alignment horizontal="left"/>
      <protection locked="0"/>
    </xf>
    <xf numFmtId="0" fontId="33" fillId="0" borderId="33" xfId="42" applyNumberFormat="1" applyFont="1" applyFill="1" applyBorder="1" applyAlignment="1">
      <alignment vertical="top"/>
    </xf>
    <xf numFmtId="0" fontId="33" fillId="0" borderId="33" xfId="42" applyNumberFormat="1" applyFont="1" applyFill="1" applyBorder="1" applyAlignment="1" applyProtection="1">
      <alignment horizontal="left" wrapText="1"/>
      <protection locked="0"/>
    </xf>
    <xf numFmtId="166" fontId="31" fillId="0" borderId="33" xfId="42" applyNumberFormat="1" applyFont="1" applyFill="1" applyBorder="1" applyAlignment="1">
      <alignment horizontal="center"/>
    </xf>
    <xf numFmtId="166" fontId="33" fillId="0" borderId="33" xfId="42" applyNumberFormat="1" applyFont="1" applyFill="1" applyBorder="1" applyAlignment="1">
      <alignment horizontal="center" vertical="center" wrapText="1"/>
    </xf>
    <xf numFmtId="166" fontId="33" fillId="0" borderId="34" xfId="42" applyNumberFormat="1" applyFont="1" applyFill="1" applyBorder="1" applyAlignment="1">
      <alignment horizontal="center" vertical="center" wrapText="1"/>
    </xf>
    <xf numFmtId="166" fontId="31" fillId="0" borderId="0" xfId="42" applyNumberFormat="1" applyFont="1" applyFill="1" applyBorder="1" applyAlignment="1" applyProtection="1">
      <alignment horizontal="left"/>
      <protection locked="0"/>
    </xf>
    <xf numFmtId="0" fontId="31" fillId="0" borderId="0" xfId="42" applyNumberFormat="1" applyFont="1" applyFill="1" applyBorder="1" applyAlignment="1">
      <alignment horizontal="right"/>
    </xf>
    <xf numFmtId="0" fontId="31" fillId="0" borderId="0" xfId="42" applyNumberFormat="1" applyFont="1" applyFill="1" applyBorder="1" applyAlignment="1" applyProtection="1">
      <alignment horizontal="left"/>
      <protection locked="0"/>
    </xf>
    <xf numFmtId="166" fontId="31" fillId="0" borderId="0" xfId="42" applyNumberFormat="1" applyFont="1" applyFill="1" applyBorder="1" applyAlignment="1">
      <alignment horizontal="left"/>
    </xf>
    <xf numFmtId="166" fontId="31" fillId="0" borderId="0" xfId="42" applyNumberFormat="1" applyFont="1" applyFill="1" applyBorder="1" applyAlignment="1">
      <alignment horizontal="right"/>
    </xf>
    <xf numFmtId="166" fontId="35" fillId="0" borderId="0" xfId="42" applyNumberFormat="1" applyFont="1" applyFill="1" applyBorder="1" applyAlignment="1" applyProtection="1">
      <alignment horizontal="left"/>
      <protection locked="0"/>
    </xf>
    <xf numFmtId="0" fontId="31" fillId="0" borderId="0" xfId="42" applyNumberFormat="1" applyFont="1" applyFill="1" applyBorder="1" applyAlignment="1" quotePrefix="1">
      <alignment horizontal="right"/>
    </xf>
    <xf numFmtId="0" fontId="31" fillId="0" borderId="0" xfId="42" applyNumberFormat="1" applyFont="1" applyFill="1" applyBorder="1" applyAlignment="1" applyProtection="1" quotePrefix="1">
      <alignment horizontal="left"/>
      <protection locked="0"/>
    </xf>
    <xf numFmtId="0" fontId="31" fillId="0" borderId="0" xfId="42" applyNumberFormat="1" applyFont="1" applyFill="1" applyBorder="1" applyAlignment="1" applyProtection="1">
      <alignment horizontal="center"/>
      <protection locked="0"/>
    </xf>
    <xf numFmtId="0" fontId="31" fillId="0" borderId="0" xfId="42" applyNumberFormat="1" applyFont="1" applyFill="1" applyBorder="1" applyAlignment="1" quotePrefix="1">
      <alignment horizontal="left"/>
    </xf>
    <xf numFmtId="166" fontId="36" fillId="0" borderId="22" xfId="42" applyNumberFormat="1" applyFont="1" applyFill="1" applyBorder="1" applyAlignment="1">
      <alignment horizontal="left"/>
    </xf>
    <xf numFmtId="166" fontId="36" fillId="0" borderId="23" xfId="42" applyNumberFormat="1" applyFont="1" applyFill="1" applyBorder="1" applyAlignment="1">
      <alignment/>
    </xf>
    <xf numFmtId="166" fontId="33" fillId="0" borderId="23" xfId="42" applyNumberFormat="1" applyFont="1" applyFill="1" applyBorder="1" applyAlignment="1">
      <alignment/>
    </xf>
    <xf numFmtId="166" fontId="31" fillId="0" borderId="23" xfId="42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66" fontId="37" fillId="0" borderId="23" xfId="42" applyNumberFormat="1" applyFont="1" applyFill="1" applyBorder="1" applyAlignment="1">
      <alignment horizontal="left"/>
    </xf>
    <xf numFmtId="166" fontId="0" fillId="0" borderId="0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166" fontId="0" fillId="0" borderId="28" xfId="0" applyNumberForma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31" fillId="0" borderId="0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9" xfId="0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38" fillId="0" borderId="3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66" fontId="0" fillId="0" borderId="34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42" applyNumberForma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9" fontId="31" fillId="0" borderId="0" xfId="60" applyFont="1" applyFill="1" applyBorder="1" applyAlignment="1">
      <alignment/>
    </xf>
    <xf numFmtId="166" fontId="0" fillId="0" borderId="33" xfId="42" applyNumberFormat="1" applyBorder="1" applyAlignment="1">
      <alignment/>
    </xf>
    <xf numFmtId="0" fontId="0" fillId="0" borderId="0" xfId="0" applyAlignment="1">
      <alignment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66" fontId="33" fillId="0" borderId="37" xfId="42" applyNumberFormat="1" applyFont="1" applyFill="1" applyBorder="1" applyAlignment="1">
      <alignment horizontal="center" vertical="center" wrapText="1"/>
    </xf>
    <xf numFmtId="166" fontId="31" fillId="0" borderId="36" xfId="42" applyNumberFormat="1" applyFont="1" applyFill="1" applyBorder="1" applyAlignment="1">
      <alignment horizontal="right"/>
    </xf>
    <xf numFmtId="166" fontId="37" fillId="0" borderId="38" xfId="42" applyNumberFormat="1" applyFont="1" applyFill="1" applyBorder="1" applyAlignment="1">
      <alignment horizontal="left"/>
    </xf>
    <xf numFmtId="166" fontId="0" fillId="0" borderId="22" xfId="42" applyNumberFormat="1" applyFont="1" applyBorder="1" applyAlignment="1">
      <alignment/>
    </xf>
    <xf numFmtId="166" fontId="0" fillId="0" borderId="24" xfId="42" applyNumberFormat="1" applyBorder="1" applyAlignment="1">
      <alignment/>
    </xf>
    <xf numFmtId="166" fontId="40" fillId="0" borderId="0" xfId="42" applyNumberFormat="1" applyFont="1" applyFill="1" applyBorder="1" applyAlignment="1">
      <alignment/>
    </xf>
    <xf numFmtId="0" fontId="0" fillId="0" borderId="30" xfId="0" applyFill="1" applyBorder="1" applyAlignment="1">
      <alignment wrapText="1"/>
    </xf>
    <xf numFmtId="9" fontId="0" fillId="0" borderId="0" xfId="0" applyNumberFormat="1" applyFill="1" applyBorder="1" applyAlignment="1">
      <alignment/>
    </xf>
    <xf numFmtId="9" fontId="0" fillId="0" borderId="31" xfId="0" applyNumberFormat="1" applyFill="1" applyBorder="1" applyAlignment="1">
      <alignment/>
    </xf>
    <xf numFmtId="166" fontId="31" fillId="0" borderId="30" xfId="42" applyNumberFormat="1" applyFont="1" applyFill="1" applyBorder="1" applyAlignment="1">
      <alignment/>
    </xf>
    <xf numFmtId="166" fontId="31" fillId="0" borderId="30" xfId="42" applyNumberFormat="1" applyFont="1" applyFill="1" applyBorder="1" applyAlignment="1">
      <alignment wrapText="1"/>
    </xf>
    <xf numFmtId="166" fontId="0" fillId="0" borderId="0" xfId="42" applyNumberFormat="1" applyFill="1" applyBorder="1" applyAlignment="1">
      <alignment/>
    </xf>
    <xf numFmtId="166" fontId="31" fillId="0" borderId="32" xfId="42" applyNumberFormat="1" applyFont="1" applyFill="1" applyBorder="1" applyAlignment="1">
      <alignment/>
    </xf>
    <xf numFmtId="166" fontId="31" fillId="0" borderId="33" xfId="42" applyNumberFormat="1" applyFont="1" applyFill="1" applyBorder="1" applyAlignment="1">
      <alignment/>
    </xf>
    <xf numFmtId="166" fontId="31" fillId="0" borderId="33" xfId="42" applyNumberFormat="1" applyFont="1" applyFill="1" applyBorder="1" applyAlignment="1" quotePrefix="1">
      <alignment/>
    </xf>
    <xf numFmtId="0" fontId="31" fillId="0" borderId="30" xfId="42" applyNumberFormat="1" applyFont="1" applyFill="1" applyBorder="1" applyAlignment="1">
      <alignment/>
    </xf>
    <xf numFmtId="166" fontId="31" fillId="0" borderId="31" xfId="42" applyNumberFormat="1" applyFont="1" applyFill="1" applyBorder="1" applyAlignment="1">
      <alignment/>
    </xf>
    <xf numFmtId="0" fontId="31" fillId="0" borderId="32" xfId="42" applyNumberFormat="1" applyFont="1" applyFill="1" applyBorder="1" applyAlignment="1">
      <alignment/>
    </xf>
    <xf numFmtId="166" fontId="0" fillId="0" borderId="33" xfId="42" applyNumberFormat="1" applyFill="1" applyBorder="1" applyAlignment="1">
      <alignment/>
    </xf>
    <xf numFmtId="9" fontId="31" fillId="0" borderId="33" xfId="60" applyFont="1" applyFill="1" applyBorder="1" applyAlignment="1">
      <alignment/>
    </xf>
    <xf numFmtId="166" fontId="31" fillId="0" borderId="34" xfId="42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0" fontId="32" fillId="0" borderId="0" xfId="42" applyNumberFormat="1" applyFont="1" applyFill="1" applyBorder="1" applyAlignment="1" applyProtection="1">
      <alignment horizontal="center"/>
      <protection locked="0"/>
    </xf>
    <xf numFmtId="0" fontId="41" fillId="0" borderId="27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33" fillId="0" borderId="27" xfId="42" applyNumberFormat="1" applyFont="1" applyFill="1" applyBorder="1" applyAlignment="1">
      <alignment horizontal="center"/>
    </xf>
    <xf numFmtId="0" fontId="33" fillId="0" borderId="28" xfId="42" applyNumberFormat="1" applyFont="1" applyFill="1" applyBorder="1" applyAlignment="1">
      <alignment horizontal="center"/>
    </xf>
    <xf numFmtId="0" fontId="33" fillId="0" borderId="29" xfId="42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9" sqref="A29"/>
    </sheetView>
  </sheetViews>
  <sheetFormatPr defaultColWidth="9.140625" defaultRowHeight="12.75"/>
  <cols>
    <col min="1" max="1" width="41.140625" style="0" customWidth="1"/>
    <col min="2" max="2" width="12.421875" style="0" customWidth="1"/>
    <col min="3" max="3" width="11.28125" style="0" customWidth="1"/>
    <col min="4" max="4" width="11.140625" style="0" customWidth="1"/>
    <col min="5" max="5" width="11.8515625" style="0" customWidth="1"/>
    <col min="6" max="6" width="12.7109375" style="0" customWidth="1"/>
  </cols>
  <sheetData>
    <row r="1" spans="1:6" ht="18">
      <c r="A1" s="151" t="s">
        <v>281</v>
      </c>
      <c r="B1" s="151"/>
      <c r="C1" s="151"/>
      <c r="D1" s="151"/>
      <c r="E1" s="151"/>
      <c r="F1" s="151"/>
    </row>
    <row r="3" spans="2:6" ht="12.75">
      <c r="B3" s="122" t="s">
        <v>190</v>
      </c>
      <c r="C3" s="123" t="s">
        <v>191</v>
      </c>
      <c r="D3" s="123" t="s">
        <v>192</v>
      </c>
      <c r="E3" s="123" t="s">
        <v>193</v>
      </c>
      <c r="F3" s="124" t="s">
        <v>194</v>
      </c>
    </row>
    <row r="4" spans="1:6" ht="22.5" customHeight="1">
      <c r="A4" t="s">
        <v>292</v>
      </c>
      <c r="B4" s="121">
        <v>0</v>
      </c>
      <c r="C4" s="121">
        <v>0</v>
      </c>
      <c r="D4" s="121">
        <v>0</v>
      </c>
      <c r="E4" s="121">
        <f>salary!R77</f>
        <v>70992</v>
      </c>
      <c r="F4" s="121">
        <f>salary!N81</f>
        <v>200938</v>
      </c>
    </row>
    <row r="5" spans="1:6" ht="22.5" customHeight="1">
      <c r="A5" t="s">
        <v>293</v>
      </c>
      <c r="B5" s="121">
        <v>0</v>
      </c>
      <c r="C5" s="121">
        <v>0</v>
      </c>
      <c r="D5" s="121">
        <v>0</v>
      </c>
      <c r="E5" s="121">
        <f>salary!L86</f>
        <v>6750</v>
      </c>
      <c r="F5" s="121">
        <f>salary!L89</f>
        <v>5400</v>
      </c>
    </row>
    <row r="6" spans="1:6" ht="23.25" customHeight="1">
      <c r="A6" t="s">
        <v>294</v>
      </c>
      <c r="B6" s="121">
        <v>0</v>
      </c>
      <c r="C6" s="121">
        <v>0</v>
      </c>
      <c r="D6" s="121">
        <v>0</v>
      </c>
      <c r="E6" s="121">
        <f>-'FY 13-14'!G36</f>
        <v>-74052.45420000004</v>
      </c>
      <c r="F6" s="121">
        <f>-'FY 14-15'!G36</f>
        <v>-156991.20290400006</v>
      </c>
    </row>
    <row r="7" spans="1:6" ht="32.25" customHeight="1">
      <c r="A7" s="127" t="s">
        <v>297</v>
      </c>
      <c r="B7" s="121">
        <v>0</v>
      </c>
      <c r="C7" s="121">
        <v>0</v>
      </c>
      <c r="D7" s="121">
        <v>0</v>
      </c>
      <c r="E7" s="121">
        <v>-7383</v>
      </c>
      <c r="F7" s="121">
        <v>-15060</v>
      </c>
    </row>
    <row r="8" spans="1:6" ht="38.25">
      <c r="A8" s="127" t="s">
        <v>295</v>
      </c>
      <c r="B8" s="121"/>
      <c r="C8" s="121"/>
      <c r="D8" s="121"/>
      <c r="E8" s="121">
        <v>0</v>
      </c>
      <c r="F8" s="121">
        <f>-salary!S90</f>
        <v>-90211.76999999999</v>
      </c>
    </row>
    <row r="9" spans="1:6" ht="19.5" customHeight="1">
      <c r="A9" s="127" t="s">
        <v>296</v>
      </c>
      <c r="B9" s="121">
        <v>0</v>
      </c>
      <c r="C9" s="121">
        <v>0</v>
      </c>
      <c r="D9" s="121">
        <v>0</v>
      </c>
      <c r="E9" s="121">
        <v>-3500</v>
      </c>
      <c r="F9" s="121">
        <v>-7000</v>
      </c>
    </row>
    <row r="10" spans="2:6" ht="7.5" customHeight="1">
      <c r="B10" s="126"/>
      <c r="C10" s="126"/>
      <c r="D10" s="126"/>
      <c r="E10" s="126"/>
      <c r="F10" s="126"/>
    </row>
    <row r="11" spans="2:6" ht="12.75">
      <c r="B11" s="121"/>
      <c r="C11" s="121"/>
      <c r="D11" s="121"/>
      <c r="E11" s="121">
        <f>SUM(E4:E10)</f>
        <v>-7193.4542000000365</v>
      </c>
      <c r="F11" s="121">
        <f>SUM(F4:F10)</f>
        <v>-62924.97290400005</v>
      </c>
    </row>
    <row r="12" spans="2:6" ht="12.75">
      <c r="B12" s="121"/>
      <c r="C12" s="121"/>
      <c r="D12" s="121"/>
      <c r="E12" s="121"/>
      <c r="F12" s="121"/>
    </row>
    <row r="13" spans="2:6" ht="12.75">
      <c r="B13" s="121"/>
      <c r="C13" s="121"/>
      <c r="D13" s="121"/>
      <c r="E13" s="133" t="s">
        <v>284</v>
      </c>
      <c r="F13" s="134">
        <f>F11+E11</f>
        <v>-70118.42710400009</v>
      </c>
    </row>
    <row r="14" spans="2:6" ht="12.75">
      <c r="B14" s="121"/>
      <c r="C14" s="121"/>
      <c r="D14" s="121"/>
      <c r="E14" s="121"/>
      <c r="F14" s="121"/>
    </row>
    <row r="15" spans="2:6" ht="12.75">
      <c r="B15" s="121"/>
      <c r="C15" s="121"/>
      <c r="D15" s="121"/>
      <c r="E15" s="121"/>
      <c r="F15" s="121"/>
    </row>
    <row r="16" spans="2:6" ht="12.75">
      <c r="B16" s="121"/>
      <c r="C16" s="121"/>
      <c r="D16" s="121"/>
      <c r="E16" s="121"/>
      <c r="F16" s="121"/>
    </row>
    <row r="17" spans="2:6" ht="12.75">
      <c r="B17" s="121"/>
      <c r="C17" s="121"/>
      <c r="D17" s="121"/>
      <c r="E17" s="121"/>
      <c r="F17" s="121"/>
    </row>
    <row r="18" spans="2:6" ht="12.75">
      <c r="B18" s="121"/>
      <c r="C18" s="121"/>
      <c r="D18" s="121"/>
      <c r="E18" s="121"/>
      <c r="F18" s="121"/>
    </row>
    <row r="19" spans="2:6" ht="12.75">
      <c r="B19" s="121"/>
      <c r="C19" s="121"/>
      <c r="D19" s="121"/>
      <c r="E19" s="121"/>
      <c r="F19" s="121"/>
    </row>
  </sheetData>
  <mergeCells count="1">
    <mergeCell ref="A1:F1"/>
  </mergeCells>
  <printOptions horizontalCentered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workbookViewId="0" topLeftCell="E41">
      <selection activeCell="S49" sqref="S49"/>
    </sheetView>
  </sheetViews>
  <sheetFormatPr defaultColWidth="6.7109375" defaultRowHeight="12.75"/>
  <cols>
    <col min="1" max="2" width="6.7109375" style="55" hidden="1" customWidth="1"/>
    <col min="3" max="3" width="2.421875" style="72" hidden="1" customWidth="1"/>
    <col min="4" max="4" width="1.421875" style="72" hidden="1" customWidth="1"/>
    <col min="5" max="5" width="5.8515625" style="107" customWidth="1"/>
    <col min="6" max="6" width="29.7109375" style="72" customWidth="1"/>
    <col min="7" max="7" width="7.00390625" style="72" hidden="1" customWidth="1"/>
    <col min="8" max="8" width="6.57421875" style="72" hidden="1" customWidth="1"/>
    <col min="9" max="9" width="18.57421875" style="72" hidden="1" customWidth="1"/>
    <col min="10" max="10" width="5.28125" style="72" customWidth="1"/>
    <col min="11" max="11" width="4.421875" style="72" customWidth="1"/>
    <col min="12" max="12" width="15.421875" style="72" customWidth="1"/>
    <col min="13" max="13" width="20.00390625" style="72" customWidth="1"/>
    <col min="14" max="14" width="15.421875" style="72" customWidth="1"/>
    <col min="15" max="15" width="13.421875" style="72" customWidth="1"/>
    <col min="16" max="16" width="5.28125" style="72" customWidth="1"/>
    <col min="17" max="17" width="4.421875" style="72" customWidth="1"/>
    <col min="18" max="18" width="15.421875" style="72" customWidth="1"/>
    <col min="19" max="19" width="14.7109375" style="56" customWidth="1"/>
    <col min="20" max="20" width="4.28125" style="56" customWidth="1"/>
    <col min="21" max="21" width="20.28125" style="56" customWidth="1"/>
    <col min="22" max="30" width="9.140625" style="56" customWidth="1"/>
    <col min="31" max="16384" width="6.7109375" style="55" customWidth="1"/>
  </cols>
  <sheetData>
    <row r="1" spans="3:18" ht="23.25">
      <c r="C1" s="152" t="s">
        <v>178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3:18" ht="4.5" customHeight="1">
      <c r="C2" s="57"/>
      <c r="D2" s="57"/>
      <c r="E2" s="58"/>
      <c r="F2" s="57"/>
      <c r="G2" s="57"/>
      <c r="H2" s="57"/>
      <c r="I2" s="59"/>
      <c r="J2" s="60"/>
      <c r="K2" s="60"/>
      <c r="L2" s="60"/>
      <c r="M2" s="60"/>
      <c r="N2" s="60"/>
      <c r="O2" s="60"/>
      <c r="P2" s="60"/>
      <c r="Q2" s="60"/>
      <c r="R2" s="60"/>
    </row>
    <row r="3" spans="1:19" ht="15" customHeight="1">
      <c r="A3" s="61"/>
      <c r="B3" s="62"/>
      <c r="C3" s="63"/>
      <c r="D3" s="64"/>
      <c r="E3" s="65" t="s">
        <v>179</v>
      </c>
      <c r="F3" s="66"/>
      <c r="G3" s="65"/>
      <c r="H3" s="65"/>
      <c r="I3" s="67"/>
      <c r="J3" s="68"/>
      <c r="K3" s="68"/>
      <c r="L3" s="128" t="s">
        <v>180</v>
      </c>
      <c r="M3" s="68" t="s">
        <v>181</v>
      </c>
      <c r="N3" s="68" t="s">
        <v>181</v>
      </c>
      <c r="O3" s="68" t="s">
        <v>182</v>
      </c>
      <c r="P3" s="68"/>
      <c r="Q3" s="68"/>
      <c r="R3" s="68" t="s">
        <v>182</v>
      </c>
      <c r="S3" s="69" t="s">
        <v>182</v>
      </c>
    </row>
    <row r="4" spans="1:19" ht="32.25" customHeight="1">
      <c r="A4" s="70"/>
      <c r="C4" s="71"/>
      <c r="E4" s="73"/>
      <c r="F4" s="57"/>
      <c r="G4" s="73"/>
      <c r="H4" s="73"/>
      <c r="I4" s="59"/>
      <c r="J4" s="74"/>
      <c r="K4" s="74"/>
      <c r="L4" s="129"/>
      <c r="M4" s="75">
        <v>0</v>
      </c>
      <c r="N4" s="75">
        <v>0</v>
      </c>
      <c r="O4" s="75" t="s">
        <v>183</v>
      </c>
      <c r="P4" s="74"/>
      <c r="Q4" s="74"/>
      <c r="R4" s="76" t="s">
        <v>184</v>
      </c>
      <c r="S4" s="77">
        <v>0.02</v>
      </c>
    </row>
    <row r="5" spans="1:19" ht="49.5" customHeight="1">
      <c r="A5" s="78"/>
      <c r="B5" s="79"/>
      <c r="C5" s="80"/>
      <c r="D5" s="81"/>
      <c r="E5" s="82" t="s">
        <v>185</v>
      </c>
      <c r="F5" s="81"/>
      <c r="G5" s="83" t="s">
        <v>186</v>
      </c>
      <c r="H5" s="83" t="s">
        <v>187</v>
      </c>
      <c r="I5" s="84"/>
      <c r="J5" s="85" t="s">
        <v>188</v>
      </c>
      <c r="K5" s="85" t="s">
        <v>69</v>
      </c>
      <c r="L5" s="130" t="s">
        <v>189</v>
      </c>
      <c r="M5" s="85" t="s">
        <v>190</v>
      </c>
      <c r="N5" s="85" t="s">
        <v>191</v>
      </c>
      <c r="O5" s="85" t="s">
        <v>192</v>
      </c>
      <c r="P5" s="85" t="s">
        <v>188</v>
      </c>
      <c r="Q5" s="85" t="s">
        <v>69</v>
      </c>
      <c r="R5" s="85" t="s">
        <v>193</v>
      </c>
      <c r="S5" s="86" t="s">
        <v>194</v>
      </c>
    </row>
    <row r="6" spans="1:19" ht="5.25" customHeight="1">
      <c r="A6" s="78"/>
      <c r="B6" s="79"/>
      <c r="C6" s="87"/>
      <c r="D6" s="87"/>
      <c r="E6" s="88"/>
      <c r="F6" s="87"/>
      <c r="G6" s="89"/>
      <c r="H6" s="89"/>
      <c r="I6" s="90"/>
      <c r="J6" s="91"/>
      <c r="K6" s="91"/>
      <c r="L6" s="131"/>
      <c r="M6" s="91"/>
      <c r="N6" s="91"/>
      <c r="O6" s="91"/>
      <c r="P6" s="91"/>
      <c r="Q6" s="91"/>
      <c r="R6" s="91"/>
      <c r="S6" s="91"/>
    </row>
    <row r="7" spans="3:19" ht="6.75" customHeight="1">
      <c r="C7" s="87"/>
      <c r="D7" s="87"/>
      <c r="E7" s="88"/>
      <c r="F7" s="87"/>
      <c r="G7" s="89"/>
      <c r="H7" s="89"/>
      <c r="I7" s="90"/>
      <c r="J7" s="91"/>
      <c r="K7" s="91"/>
      <c r="L7" s="131"/>
      <c r="M7" s="91"/>
      <c r="N7" s="91"/>
      <c r="O7" s="91"/>
      <c r="P7" s="91"/>
      <c r="Q7" s="91"/>
      <c r="R7" s="91"/>
      <c r="S7" s="91"/>
    </row>
    <row r="8" spans="3:19" ht="15.75">
      <c r="C8" s="92"/>
      <c r="D8" s="87"/>
      <c r="E8" s="88"/>
      <c r="F8" s="87"/>
      <c r="G8" s="89"/>
      <c r="H8" s="89"/>
      <c r="I8" s="90"/>
      <c r="J8" s="91"/>
      <c r="K8" s="91"/>
      <c r="L8" s="131"/>
      <c r="M8" s="91"/>
      <c r="N8" s="91"/>
      <c r="O8" s="91"/>
      <c r="P8" s="91"/>
      <c r="Q8" s="91"/>
      <c r="R8" s="91"/>
      <c r="S8" s="91"/>
    </row>
    <row r="9" spans="1:19" ht="13.5" customHeight="1">
      <c r="A9" s="55">
        <v>160</v>
      </c>
      <c r="B9" s="55">
        <v>101</v>
      </c>
      <c r="C9" s="87"/>
      <c r="D9" s="87"/>
      <c r="E9" s="88">
        <v>5690</v>
      </c>
      <c r="F9" s="87" t="s">
        <v>195</v>
      </c>
      <c r="G9" s="89">
        <v>6913</v>
      </c>
      <c r="H9" s="89">
        <v>6479</v>
      </c>
      <c r="I9" s="90" t="s">
        <v>196</v>
      </c>
      <c r="J9" s="91">
        <v>1</v>
      </c>
      <c r="K9" s="91">
        <v>3</v>
      </c>
      <c r="L9" s="131">
        <v>36598</v>
      </c>
      <c r="M9" s="91">
        <v>36598</v>
      </c>
      <c r="N9" s="91">
        <v>36598</v>
      </c>
      <c r="O9" s="91">
        <f>ROUND(N9*1.03,0)</f>
        <v>37696</v>
      </c>
      <c r="P9" s="91">
        <v>1</v>
      </c>
      <c r="Q9" s="91">
        <v>3</v>
      </c>
      <c r="R9" s="91">
        <f>ROUND(O9*1.02,0)</f>
        <v>38450</v>
      </c>
      <c r="S9" s="91">
        <f>ROUND(R9*1.02,0)</f>
        <v>39219</v>
      </c>
    </row>
    <row r="10" spans="1:19" ht="13.5" customHeight="1">
      <c r="A10" s="55">
        <v>160</v>
      </c>
      <c r="B10" s="55">
        <v>101</v>
      </c>
      <c r="C10" s="87"/>
      <c r="D10" s="87"/>
      <c r="E10" s="88">
        <v>5680</v>
      </c>
      <c r="F10" s="87" t="s">
        <v>195</v>
      </c>
      <c r="G10" s="89">
        <v>13361</v>
      </c>
      <c r="H10" s="89">
        <v>6479</v>
      </c>
      <c r="I10" s="90" t="s">
        <v>197</v>
      </c>
      <c r="J10" s="91">
        <v>1</v>
      </c>
      <c r="K10" s="91">
        <v>3</v>
      </c>
      <c r="L10" s="131">
        <v>36598</v>
      </c>
      <c r="M10" s="91">
        <v>36598</v>
      </c>
      <c r="N10" s="91">
        <v>36598</v>
      </c>
      <c r="O10" s="91">
        <f aca="true" t="shared" si="0" ref="O10:O73">ROUND(N10*1.03,0)</f>
        <v>37696</v>
      </c>
      <c r="P10" s="91">
        <v>1</v>
      </c>
      <c r="Q10" s="91">
        <v>3</v>
      </c>
      <c r="R10" s="91">
        <f aca="true" t="shared" si="1" ref="R10:R73">ROUND(O10*1.02,0)</f>
        <v>38450</v>
      </c>
      <c r="S10" s="91">
        <f aca="true" t="shared" si="2" ref="S10:S73">ROUND(R10*1.02,0)</f>
        <v>39219</v>
      </c>
    </row>
    <row r="11" spans="1:19" ht="13.5" customHeight="1">
      <c r="A11" s="55">
        <v>160</v>
      </c>
      <c r="B11" s="55">
        <v>101</v>
      </c>
      <c r="C11" s="87"/>
      <c r="D11" s="87"/>
      <c r="E11" s="88">
        <v>660</v>
      </c>
      <c r="F11" s="87" t="s">
        <v>198</v>
      </c>
      <c r="G11" s="89"/>
      <c r="H11" s="89">
        <v>6423</v>
      </c>
      <c r="I11" s="90" t="s">
        <v>199</v>
      </c>
      <c r="J11" s="91">
        <v>2</v>
      </c>
      <c r="K11" s="91">
        <v>1</v>
      </c>
      <c r="L11" s="131">
        <v>38712</v>
      </c>
      <c r="M11" s="91">
        <v>38712</v>
      </c>
      <c r="N11" s="91">
        <v>38712</v>
      </c>
      <c r="O11" s="91">
        <f t="shared" si="0"/>
        <v>39873</v>
      </c>
      <c r="P11" s="91">
        <v>2</v>
      </c>
      <c r="Q11" s="91">
        <v>1</v>
      </c>
      <c r="R11" s="91">
        <f t="shared" si="1"/>
        <v>40670</v>
      </c>
      <c r="S11" s="91">
        <f t="shared" si="2"/>
        <v>41483</v>
      </c>
    </row>
    <row r="12" spans="1:19" ht="13.5" customHeight="1">
      <c r="A12" s="55">
        <v>160</v>
      </c>
      <c r="B12" s="55">
        <v>101</v>
      </c>
      <c r="C12" s="87"/>
      <c r="D12" s="87"/>
      <c r="E12" s="88">
        <v>1200</v>
      </c>
      <c r="F12" s="87" t="s">
        <v>198</v>
      </c>
      <c r="G12" s="89"/>
      <c r="H12" s="89">
        <v>6423</v>
      </c>
      <c r="I12" s="90" t="s">
        <v>199</v>
      </c>
      <c r="J12" s="91">
        <v>2</v>
      </c>
      <c r="K12" s="91">
        <v>1</v>
      </c>
      <c r="L12" s="131">
        <v>38712</v>
      </c>
      <c r="M12" s="91">
        <v>38712</v>
      </c>
      <c r="N12" s="91">
        <v>38712</v>
      </c>
      <c r="O12" s="91">
        <f t="shared" si="0"/>
        <v>39873</v>
      </c>
      <c r="P12" s="91">
        <v>2</v>
      </c>
      <c r="Q12" s="91">
        <v>1</v>
      </c>
      <c r="R12" s="91">
        <f t="shared" si="1"/>
        <v>40670</v>
      </c>
      <c r="S12" s="91">
        <f t="shared" si="2"/>
        <v>41483</v>
      </c>
    </row>
    <row r="13" spans="1:19" ht="13.5" customHeight="1">
      <c r="A13" s="55">
        <v>160</v>
      </c>
      <c r="B13" s="55">
        <v>101</v>
      </c>
      <c r="C13" s="87"/>
      <c r="D13" s="87"/>
      <c r="E13" s="88">
        <v>3020</v>
      </c>
      <c r="F13" s="87" t="s">
        <v>198</v>
      </c>
      <c r="G13" s="89"/>
      <c r="H13" s="89">
        <v>6423</v>
      </c>
      <c r="I13" s="90" t="s">
        <v>199</v>
      </c>
      <c r="J13" s="91">
        <v>2</v>
      </c>
      <c r="K13" s="91">
        <v>1</v>
      </c>
      <c r="L13" s="131">
        <v>38712</v>
      </c>
      <c r="M13" s="91">
        <v>38712</v>
      </c>
      <c r="N13" s="91">
        <v>38712</v>
      </c>
      <c r="O13" s="91">
        <f t="shared" si="0"/>
        <v>39873</v>
      </c>
      <c r="P13" s="91">
        <v>2</v>
      </c>
      <c r="Q13" s="91">
        <v>1</v>
      </c>
      <c r="R13" s="91">
        <f t="shared" si="1"/>
        <v>40670</v>
      </c>
      <c r="S13" s="91">
        <f t="shared" si="2"/>
        <v>41483</v>
      </c>
    </row>
    <row r="14" spans="1:19" ht="13.5" customHeight="1">
      <c r="A14" s="55">
        <v>160</v>
      </c>
      <c r="B14" s="55">
        <v>101</v>
      </c>
      <c r="C14" s="87"/>
      <c r="D14" s="87"/>
      <c r="E14" s="88">
        <v>590</v>
      </c>
      <c r="F14" s="87" t="s">
        <v>198</v>
      </c>
      <c r="G14" s="89">
        <v>6099</v>
      </c>
      <c r="H14" s="89">
        <v>6423</v>
      </c>
      <c r="I14" s="90" t="s">
        <v>200</v>
      </c>
      <c r="J14" s="91">
        <v>2</v>
      </c>
      <c r="K14" s="91">
        <v>5</v>
      </c>
      <c r="L14" s="131">
        <v>42365</v>
      </c>
      <c r="M14" s="91">
        <v>42365</v>
      </c>
      <c r="N14" s="91">
        <v>42365</v>
      </c>
      <c r="O14" s="91">
        <f t="shared" si="0"/>
        <v>43636</v>
      </c>
      <c r="P14" s="91">
        <v>2</v>
      </c>
      <c r="Q14" s="91">
        <v>5</v>
      </c>
      <c r="R14" s="91">
        <f t="shared" si="1"/>
        <v>44509</v>
      </c>
      <c r="S14" s="91">
        <f t="shared" si="2"/>
        <v>45399</v>
      </c>
    </row>
    <row r="15" spans="1:19" ht="13.5" customHeight="1">
      <c r="A15" s="55">
        <v>160</v>
      </c>
      <c r="B15" s="55">
        <v>122</v>
      </c>
      <c r="C15" s="87"/>
      <c r="D15" s="87"/>
      <c r="E15" s="88">
        <v>490</v>
      </c>
      <c r="F15" s="87" t="s">
        <v>198</v>
      </c>
      <c r="G15" s="89">
        <v>15733</v>
      </c>
      <c r="H15" s="89">
        <v>6423</v>
      </c>
      <c r="I15" s="90" t="s">
        <v>201</v>
      </c>
      <c r="J15" s="91">
        <v>2</v>
      </c>
      <c r="K15" s="91">
        <v>1</v>
      </c>
      <c r="L15" s="131">
        <v>38712</v>
      </c>
      <c r="M15" s="91">
        <v>38712</v>
      </c>
      <c r="N15" s="91">
        <v>38712</v>
      </c>
      <c r="O15" s="91">
        <f t="shared" si="0"/>
        <v>39873</v>
      </c>
      <c r="P15" s="91">
        <v>2</v>
      </c>
      <c r="Q15" s="91">
        <v>1</v>
      </c>
      <c r="R15" s="91">
        <f t="shared" si="1"/>
        <v>40670</v>
      </c>
      <c r="S15" s="91">
        <f t="shared" si="2"/>
        <v>41483</v>
      </c>
    </row>
    <row r="16" spans="1:19" ht="13.5" customHeight="1">
      <c r="A16" s="55">
        <v>160</v>
      </c>
      <c r="B16" s="55">
        <v>122</v>
      </c>
      <c r="C16" s="87"/>
      <c r="D16" s="87"/>
      <c r="E16" s="88">
        <v>620</v>
      </c>
      <c r="F16" s="87" t="s">
        <v>198</v>
      </c>
      <c r="G16" s="89">
        <v>6594</v>
      </c>
      <c r="H16" s="89">
        <v>6423</v>
      </c>
      <c r="I16" s="90" t="s">
        <v>202</v>
      </c>
      <c r="J16" s="91">
        <v>2</v>
      </c>
      <c r="K16" s="91">
        <v>5</v>
      </c>
      <c r="L16" s="131">
        <v>42365</v>
      </c>
      <c r="M16" s="91">
        <v>42365</v>
      </c>
      <c r="N16" s="91">
        <v>42365</v>
      </c>
      <c r="O16" s="91">
        <f t="shared" si="0"/>
        <v>43636</v>
      </c>
      <c r="P16" s="91">
        <v>2</v>
      </c>
      <c r="Q16" s="91">
        <v>5</v>
      </c>
      <c r="R16" s="91">
        <f t="shared" si="1"/>
        <v>44509</v>
      </c>
      <c r="S16" s="91">
        <f t="shared" si="2"/>
        <v>45399</v>
      </c>
    </row>
    <row r="17" spans="1:19" ht="13.5" customHeight="1">
      <c r="A17" s="55">
        <v>160</v>
      </c>
      <c r="B17" s="55">
        <v>122</v>
      </c>
      <c r="C17" s="87"/>
      <c r="D17" s="87"/>
      <c r="E17" s="88">
        <v>1140</v>
      </c>
      <c r="F17" s="87" t="s">
        <v>198</v>
      </c>
      <c r="G17" s="89">
        <v>28444</v>
      </c>
      <c r="H17" s="89">
        <v>6424</v>
      </c>
      <c r="I17" s="90" t="s">
        <v>203</v>
      </c>
      <c r="J17" s="91">
        <v>2</v>
      </c>
      <c r="K17" s="91">
        <v>1</v>
      </c>
      <c r="L17" s="131">
        <v>38712</v>
      </c>
      <c r="M17" s="91">
        <v>38712</v>
      </c>
      <c r="N17" s="91">
        <v>38712</v>
      </c>
      <c r="O17" s="91">
        <f t="shared" si="0"/>
        <v>39873</v>
      </c>
      <c r="P17" s="91">
        <v>2</v>
      </c>
      <c r="Q17" s="91">
        <v>1</v>
      </c>
      <c r="R17" s="91">
        <f t="shared" si="1"/>
        <v>40670</v>
      </c>
      <c r="S17" s="91">
        <f t="shared" si="2"/>
        <v>41483</v>
      </c>
    </row>
    <row r="18" spans="1:19" ht="13.5" customHeight="1">
      <c r="A18" s="55">
        <v>160</v>
      </c>
      <c r="B18" s="55">
        <v>122</v>
      </c>
      <c r="C18" s="87"/>
      <c r="D18" s="87"/>
      <c r="E18" s="88">
        <v>560</v>
      </c>
      <c r="F18" s="87" t="s">
        <v>198</v>
      </c>
      <c r="G18" s="89">
        <v>29912</v>
      </c>
      <c r="H18" s="89">
        <v>6423</v>
      </c>
      <c r="I18" s="90" t="s">
        <v>204</v>
      </c>
      <c r="J18" s="91">
        <v>2</v>
      </c>
      <c r="K18" s="91">
        <v>1</v>
      </c>
      <c r="L18" s="131">
        <v>38712</v>
      </c>
      <c r="M18" s="91">
        <v>38712</v>
      </c>
      <c r="N18" s="91">
        <v>38712</v>
      </c>
      <c r="O18" s="91">
        <f t="shared" si="0"/>
        <v>39873</v>
      </c>
      <c r="P18" s="91">
        <v>2</v>
      </c>
      <c r="Q18" s="91">
        <v>1</v>
      </c>
      <c r="R18" s="91">
        <f t="shared" si="1"/>
        <v>40670</v>
      </c>
      <c r="S18" s="91">
        <f t="shared" si="2"/>
        <v>41483</v>
      </c>
    </row>
    <row r="19" spans="1:19" ht="13.5" customHeight="1">
      <c r="A19" s="55">
        <v>201</v>
      </c>
      <c r="B19" s="55">
        <v>204</v>
      </c>
      <c r="C19" s="87"/>
      <c r="D19" s="87"/>
      <c r="E19" s="88">
        <v>640</v>
      </c>
      <c r="F19" s="87" t="s">
        <v>198</v>
      </c>
      <c r="G19" s="89">
        <v>6421</v>
      </c>
      <c r="H19" s="89">
        <v>6423</v>
      </c>
      <c r="I19" s="90" t="s">
        <v>205</v>
      </c>
      <c r="J19" s="91">
        <v>2</v>
      </c>
      <c r="K19" s="91">
        <v>4</v>
      </c>
      <c r="L19" s="131">
        <v>41451</v>
      </c>
      <c r="M19" s="91">
        <v>41451</v>
      </c>
      <c r="N19" s="91">
        <v>41451</v>
      </c>
      <c r="O19" s="91">
        <f t="shared" si="0"/>
        <v>42695</v>
      </c>
      <c r="P19" s="91">
        <v>2</v>
      </c>
      <c r="Q19" s="91">
        <v>4</v>
      </c>
      <c r="R19" s="91">
        <f t="shared" si="1"/>
        <v>43549</v>
      </c>
      <c r="S19" s="91">
        <f t="shared" si="2"/>
        <v>44420</v>
      </c>
    </row>
    <row r="20" spans="1:19" ht="13.5" customHeight="1">
      <c r="A20" s="55">
        <v>201</v>
      </c>
      <c r="B20" s="55">
        <v>204</v>
      </c>
      <c r="C20" s="87"/>
      <c r="D20" s="87"/>
      <c r="E20" s="88">
        <v>450</v>
      </c>
      <c r="F20" s="87" t="s">
        <v>198</v>
      </c>
      <c r="G20" s="89">
        <v>6665</v>
      </c>
      <c r="H20" s="89">
        <v>6423</v>
      </c>
      <c r="I20" s="90" t="s">
        <v>206</v>
      </c>
      <c r="J20" s="91">
        <v>2</v>
      </c>
      <c r="K20" s="91">
        <v>1</v>
      </c>
      <c r="L20" s="131">
        <v>38712</v>
      </c>
      <c r="M20" s="91">
        <v>38712</v>
      </c>
      <c r="N20" s="91">
        <v>38712</v>
      </c>
      <c r="O20" s="91">
        <f t="shared" si="0"/>
        <v>39873</v>
      </c>
      <c r="P20" s="91">
        <v>2</v>
      </c>
      <c r="Q20" s="91">
        <v>1</v>
      </c>
      <c r="R20" s="91">
        <f t="shared" si="1"/>
        <v>40670</v>
      </c>
      <c r="S20" s="91">
        <f t="shared" si="2"/>
        <v>41483</v>
      </c>
    </row>
    <row r="21" spans="1:19" ht="13.5" customHeight="1">
      <c r="A21" s="55">
        <v>201</v>
      </c>
      <c r="B21" s="55">
        <v>204</v>
      </c>
      <c r="C21" s="87"/>
      <c r="D21" s="87"/>
      <c r="E21" s="88">
        <v>460</v>
      </c>
      <c r="F21" s="87" t="s">
        <v>198</v>
      </c>
      <c r="G21" s="89">
        <v>6792</v>
      </c>
      <c r="H21" s="89">
        <v>6423</v>
      </c>
      <c r="I21" s="90" t="s">
        <v>207</v>
      </c>
      <c r="J21" s="91">
        <v>2</v>
      </c>
      <c r="K21" s="91">
        <v>1</v>
      </c>
      <c r="L21" s="131">
        <v>38712</v>
      </c>
      <c r="M21" s="91">
        <v>38712</v>
      </c>
      <c r="N21" s="91">
        <v>38712</v>
      </c>
      <c r="O21" s="91">
        <f t="shared" si="0"/>
        <v>39873</v>
      </c>
      <c r="P21" s="91">
        <v>2</v>
      </c>
      <c r="Q21" s="91">
        <v>1</v>
      </c>
      <c r="R21" s="91">
        <f t="shared" si="1"/>
        <v>40670</v>
      </c>
      <c r="S21" s="91">
        <f t="shared" si="2"/>
        <v>41483</v>
      </c>
    </row>
    <row r="22" spans="1:19" ht="13.5" customHeight="1">
      <c r="A22" s="55">
        <v>201</v>
      </c>
      <c r="B22" s="55">
        <v>204</v>
      </c>
      <c r="C22" s="87"/>
      <c r="D22" s="87"/>
      <c r="E22" s="88">
        <v>3025</v>
      </c>
      <c r="F22" s="87" t="s">
        <v>198</v>
      </c>
      <c r="G22" s="89">
        <v>6053</v>
      </c>
      <c r="H22" s="89">
        <v>6423</v>
      </c>
      <c r="I22" s="90" t="s">
        <v>208</v>
      </c>
      <c r="J22" s="91">
        <v>2</v>
      </c>
      <c r="K22" s="91">
        <v>1</v>
      </c>
      <c r="L22" s="131">
        <v>38712</v>
      </c>
      <c r="M22" s="91">
        <v>38712</v>
      </c>
      <c r="N22" s="91">
        <v>38712</v>
      </c>
      <c r="O22" s="91">
        <f t="shared" si="0"/>
        <v>39873</v>
      </c>
      <c r="P22" s="91">
        <v>2</v>
      </c>
      <c r="Q22" s="91">
        <v>1</v>
      </c>
      <c r="R22" s="91">
        <f t="shared" si="1"/>
        <v>40670</v>
      </c>
      <c r="S22" s="91">
        <f t="shared" si="2"/>
        <v>41483</v>
      </c>
    </row>
    <row r="23" spans="1:19" ht="13.5" customHeight="1">
      <c r="A23" s="55">
        <v>201</v>
      </c>
      <c r="B23" s="55">
        <v>204</v>
      </c>
      <c r="C23" s="87"/>
      <c r="D23" s="87"/>
      <c r="E23" s="88">
        <v>690</v>
      </c>
      <c r="F23" s="87" t="s">
        <v>198</v>
      </c>
      <c r="G23" s="89">
        <v>6350</v>
      </c>
      <c r="H23" s="89">
        <v>6423</v>
      </c>
      <c r="I23" s="90" t="s">
        <v>209</v>
      </c>
      <c r="J23" s="91">
        <v>2</v>
      </c>
      <c r="K23" s="91">
        <v>1</v>
      </c>
      <c r="L23" s="131">
        <v>38712</v>
      </c>
      <c r="M23" s="91">
        <v>38712</v>
      </c>
      <c r="N23" s="91">
        <v>38712</v>
      </c>
      <c r="O23" s="91">
        <f t="shared" si="0"/>
        <v>39873</v>
      </c>
      <c r="P23" s="91">
        <v>2</v>
      </c>
      <c r="Q23" s="91">
        <v>1</v>
      </c>
      <c r="R23" s="91">
        <f t="shared" si="1"/>
        <v>40670</v>
      </c>
      <c r="S23" s="91">
        <f t="shared" si="2"/>
        <v>41483</v>
      </c>
    </row>
    <row r="24" spans="1:19" ht="13.5" customHeight="1">
      <c r="A24" s="55">
        <v>201</v>
      </c>
      <c r="B24" s="55">
        <v>204</v>
      </c>
      <c r="C24" s="87"/>
      <c r="D24" s="87"/>
      <c r="E24" s="88">
        <v>530</v>
      </c>
      <c r="F24" s="87" t="s">
        <v>198</v>
      </c>
      <c r="G24" s="89">
        <v>28441</v>
      </c>
      <c r="H24" s="89">
        <v>6423</v>
      </c>
      <c r="I24" s="90" t="s">
        <v>210</v>
      </c>
      <c r="J24" s="91">
        <v>2</v>
      </c>
      <c r="K24" s="91">
        <v>1</v>
      </c>
      <c r="L24" s="131">
        <v>38712</v>
      </c>
      <c r="M24" s="91">
        <v>38712</v>
      </c>
      <c r="N24" s="91">
        <v>38712</v>
      </c>
      <c r="O24" s="91">
        <f t="shared" si="0"/>
        <v>39873</v>
      </c>
      <c r="P24" s="91">
        <v>2</v>
      </c>
      <c r="Q24" s="91">
        <v>1</v>
      </c>
      <c r="R24" s="91">
        <f t="shared" si="1"/>
        <v>40670</v>
      </c>
      <c r="S24" s="91">
        <f t="shared" si="2"/>
        <v>41483</v>
      </c>
    </row>
    <row r="25" spans="1:19" ht="13.5" customHeight="1">
      <c r="A25" s="55">
        <v>201</v>
      </c>
      <c r="B25" s="55">
        <v>204</v>
      </c>
      <c r="C25" s="87"/>
      <c r="D25" s="87"/>
      <c r="E25" s="88">
        <v>480</v>
      </c>
      <c r="F25" s="87" t="s">
        <v>198</v>
      </c>
      <c r="G25" s="89">
        <v>8006</v>
      </c>
      <c r="H25" s="89">
        <v>6423</v>
      </c>
      <c r="I25" s="90" t="s">
        <v>211</v>
      </c>
      <c r="J25" s="91">
        <v>2</v>
      </c>
      <c r="K25" s="91">
        <v>1</v>
      </c>
      <c r="L25" s="131">
        <v>38712</v>
      </c>
      <c r="M25" s="91">
        <v>38712</v>
      </c>
      <c r="N25" s="91">
        <v>38712</v>
      </c>
      <c r="O25" s="91">
        <f t="shared" si="0"/>
        <v>39873</v>
      </c>
      <c r="P25" s="91">
        <v>2</v>
      </c>
      <c r="Q25" s="91">
        <v>1</v>
      </c>
      <c r="R25" s="91">
        <f t="shared" si="1"/>
        <v>40670</v>
      </c>
      <c r="S25" s="91">
        <f t="shared" si="2"/>
        <v>41483</v>
      </c>
    </row>
    <row r="26" spans="1:19" ht="13.5" customHeight="1">
      <c r="A26" s="55">
        <v>201</v>
      </c>
      <c r="B26" s="55">
        <v>204</v>
      </c>
      <c r="C26" s="87"/>
      <c r="D26" s="87"/>
      <c r="E26" s="88">
        <v>550</v>
      </c>
      <c r="F26" s="87" t="s">
        <v>198</v>
      </c>
      <c r="G26" s="89">
        <v>29727</v>
      </c>
      <c r="H26" s="89">
        <v>6423</v>
      </c>
      <c r="I26" s="90" t="s">
        <v>212</v>
      </c>
      <c r="J26" s="91">
        <v>2</v>
      </c>
      <c r="K26" s="91">
        <v>1</v>
      </c>
      <c r="L26" s="131">
        <v>38712</v>
      </c>
      <c r="M26" s="91">
        <v>38712</v>
      </c>
      <c r="N26" s="91">
        <v>38712</v>
      </c>
      <c r="O26" s="91">
        <f t="shared" si="0"/>
        <v>39873</v>
      </c>
      <c r="P26" s="91">
        <v>2</v>
      </c>
      <c r="Q26" s="91">
        <v>1</v>
      </c>
      <c r="R26" s="91">
        <f t="shared" si="1"/>
        <v>40670</v>
      </c>
      <c r="S26" s="91">
        <f t="shared" si="2"/>
        <v>41483</v>
      </c>
    </row>
    <row r="27" spans="1:19" ht="13.5" customHeight="1">
      <c r="A27" s="55">
        <v>201</v>
      </c>
      <c r="B27" s="55">
        <v>204</v>
      </c>
      <c r="C27" s="87"/>
      <c r="D27" s="87"/>
      <c r="E27" s="88">
        <v>720</v>
      </c>
      <c r="F27" s="87" t="s">
        <v>198</v>
      </c>
      <c r="G27" s="89">
        <v>7000</v>
      </c>
      <c r="H27" s="89">
        <v>6423</v>
      </c>
      <c r="I27" s="90" t="s">
        <v>213</v>
      </c>
      <c r="J27" s="91">
        <v>2</v>
      </c>
      <c r="K27" s="91">
        <v>1</v>
      </c>
      <c r="L27" s="131">
        <v>38712</v>
      </c>
      <c r="M27" s="91">
        <v>38712</v>
      </c>
      <c r="N27" s="91">
        <v>38712</v>
      </c>
      <c r="O27" s="91">
        <f t="shared" si="0"/>
        <v>39873</v>
      </c>
      <c r="P27" s="91">
        <v>2</v>
      </c>
      <c r="Q27" s="91">
        <v>1</v>
      </c>
      <c r="R27" s="91">
        <f t="shared" si="1"/>
        <v>40670</v>
      </c>
      <c r="S27" s="91">
        <f t="shared" si="2"/>
        <v>41483</v>
      </c>
    </row>
    <row r="28" spans="1:19" ht="13.5" customHeight="1">
      <c r="A28" s="55">
        <v>201</v>
      </c>
      <c r="B28" s="55">
        <v>204</v>
      </c>
      <c r="C28" s="87"/>
      <c r="D28" s="87"/>
      <c r="E28" s="88">
        <v>600</v>
      </c>
      <c r="F28" s="87" t="s">
        <v>198</v>
      </c>
      <c r="G28" s="89">
        <v>18275</v>
      </c>
      <c r="H28" s="89">
        <v>6423</v>
      </c>
      <c r="I28" s="90" t="s">
        <v>214</v>
      </c>
      <c r="J28" s="91">
        <v>2</v>
      </c>
      <c r="K28" s="91">
        <v>1</v>
      </c>
      <c r="L28" s="131">
        <v>38712</v>
      </c>
      <c r="M28" s="91">
        <v>38712</v>
      </c>
      <c r="N28" s="91">
        <v>38712</v>
      </c>
      <c r="O28" s="91">
        <f t="shared" si="0"/>
        <v>39873</v>
      </c>
      <c r="P28" s="91">
        <v>2</v>
      </c>
      <c r="Q28" s="91">
        <v>1</v>
      </c>
      <c r="R28" s="91">
        <f t="shared" si="1"/>
        <v>40670</v>
      </c>
      <c r="S28" s="91">
        <f t="shared" si="2"/>
        <v>41483</v>
      </c>
    </row>
    <row r="29" spans="1:19" ht="13.5" customHeight="1">
      <c r="A29" s="55">
        <v>201</v>
      </c>
      <c r="B29" s="55">
        <v>204</v>
      </c>
      <c r="C29" s="87"/>
      <c r="D29" s="87"/>
      <c r="E29" s="88">
        <v>360</v>
      </c>
      <c r="F29" s="87" t="s">
        <v>198</v>
      </c>
      <c r="G29" s="89">
        <v>27761</v>
      </c>
      <c r="H29" s="89">
        <v>6422</v>
      </c>
      <c r="I29" s="90" t="s">
        <v>215</v>
      </c>
      <c r="J29" s="91">
        <v>2</v>
      </c>
      <c r="K29" s="91">
        <v>1</v>
      </c>
      <c r="L29" s="131">
        <v>38712</v>
      </c>
      <c r="M29" s="91">
        <v>38712</v>
      </c>
      <c r="N29" s="91">
        <v>38712</v>
      </c>
      <c r="O29" s="91">
        <f t="shared" si="0"/>
        <v>39873</v>
      </c>
      <c r="P29" s="91">
        <v>2</v>
      </c>
      <c r="Q29" s="91">
        <v>1</v>
      </c>
      <c r="R29" s="91">
        <f t="shared" si="1"/>
        <v>40670</v>
      </c>
      <c r="S29" s="91">
        <f t="shared" si="2"/>
        <v>41483</v>
      </c>
    </row>
    <row r="30" spans="1:19" ht="13.5" customHeight="1">
      <c r="A30" s="55">
        <v>201</v>
      </c>
      <c r="B30" s="55">
        <v>204</v>
      </c>
      <c r="C30" s="87"/>
      <c r="D30" s="87"/>
      <c r="E30" s="88">
        <v>670</v>
      </c>
      <c r="F30" s="87" t="s">
        <v>198</v>
      </c>
      <c r="G30" s="89">
        <v>8470</v>
      </c>
      <c r="H30" s="89">
        <v>6423</v>
      </c>
      <c r="I30" s="90" t="s">
        <v>216</v>
      </c>
      <c r="J30" s="91">
        <v>2</v>
      </c>
      <c r="K30" s="91">
        <v>1</v>
      </c>
      <c r="L30" s="131">
        <v>38712</v>
      </c>
      <c r="M30" s="91">
        <v>38712</v>
      </c>
      <c r="N30" s="91">
        <v>38712</v>
      </c>
      <c r="O30" s="91">
        <f t="shared" si="0"/>
        <v>39873</v>
      </c>
      <c r="P30" s="91">
        <v>2</v>
      </c>
      <c r="Q30" s="91">
        <v>1</v>
      </c>
      <c r="R30" s="91">
        <f t="shared" si="1"/>
        <v>40670</v>
      </c>
      <c r="S30" s="91">
        <f t="shared" si="2"/>
        <v>41483</v>
      </c>
    </row>
    <row r="31" spans="1:19" ht="13.5" customHeight="1">
      <c r="A31" s="55">
        <v>201</v>
      </c>
      <c r="B31" s="55">
        <v>204</v>
      </c>
      <c r="C31" s="87"/>
      <c r="D31" s="87"/>
      <c r="E31" s="88">
        <v>3010</v>
      </c>
      <c r="F31" s="87" t="s">
        <v>217</v>
      </c>
      <c r="G31" s="89"/>
      <c r="H31" s="89">
        <v>6424</v>
      </c>
      <c r="I31" s="90" t="s">
        <v>199</v>
      </c>
      <c r="J31" s="91">
        <v>2</v>
      </c>
      <c r="K31" s="91">
        <v>7</v>
      </c>
      <c r="L31" s="131">
        <v>44981</v>
      </c>
      <c r="M31" s="91">
        <v>44981</v>
      </c>
      <c r="N31" s="91">
        <v>44981</v>
      </c>
      <c r="O31" s="91">
        <f t="shared" si="0"/>
        <v>46330</v>
      </c>
      <c r="P31" s="91">
        <v>2</v>
      </c>
      <c r="Q31" s="91">
        <v>7</v>
      </c>
      <c r="R31" s="91">
        <f t="shared" si="1"/>
        <v>47257</v>
      </c>
      <c r="S31" s="91">
        <f t="shared" si="2"/>
        <v>48202</v>
      </c>
    </row>
    <row r="32" spans="1:19" ht="13.5" customHeight="1">
      <c r="A32" s="55">
        <v>201</v>
      </c>
      <c r="B32" s="55">
        <v>204</v>
      </c>
      <c r="C32" s="87"/>
      <c r="D32" s="87"/>
      <c r="E32" s="88">
        <v>3015</v>
      </c>
      <c r="F32" s="87" t="s">
        <v>217</v>
      </c>
      <c r="G32" s="89">
        <v>6617</v>
      </c>
      <c r="H32" s="89">
        <v>6424</v>
      </c>
      <c r="I32" s="90" t="s">
        <v>218</v>
      </c>
      <c r="J32" s="91">
        <v>2</v>
      </c>
      <c r="K32" s="91">
        <v>4</v>
      </c>
      <c r="L32" s="131">
        <v>41451</v>
      </c>
      <c r="M32" s="91">
        <v>41451</v>
      </c>
      <c r="N32" s="91">
        <v>41451</v>
      </c>
      <c r="O32" s="91">
        <f t="shared" si="0"/>
        <v>42695</v>
      </c>
      <c r="P32" s="91">
        <v>2</v>
      </c>
      <c r="Q32" s="91">
        <v>4</v>
      </c>
      <c r="R32" s="91">
        <f t="shared" si="1"/>
        <v>43549</v>
      </c>
      <c r="S32" s="91">
        <f t="shared" si="2"/>
        <v>44420</v>
      </c>
    </row>
    <row r="33" spans="1:19" ht="13.5" customHeight="1">
      <c r="A33" s="55">
        <v>201</v>
      </c>
      <c r="B33" s="55">
        <v>204</v>
      </c>
      <c r="C33" s="87"/>
      <c r="D33" s="87"/>
      <c r="E33" s="88">
        <v>3005</v>
      </c>
      <c r="F33" s="87" t="s">
        <v>217</v>
      </c>
      <c r="G33" s="89">
        <v>6885</v>
      </c>
      <c r="H33" s="89">
        <v>6424</v>
      </c>
      <c r="I33" s="90" t="s">
        <v>219</v>
      </c>
      <c r="J33" s="91">
        <v>2</v>
      </c>
      <c r="K33" s="91">
        <v>6</v>
      </c>
      <c r="L33" s="131">
        <v>43673</v>
      </c>
      <c r="M33" s="91">
        <v>43673</v>
      </c>
      <c r="N33" s="91">
        <v>43673</v>
      </c>
      <c r="O33" s="91">
        <f t="shared" si="0"/>
        <v>44983</v>
      </c>
      <c r="P33" s="91">
        <v>2</v>
      </c>
      <c r="Q33" s="91">
        <v>6</v>
      </c>
      <c r="R33" s="91">
        <f t="shared" si="1"/>
        <v>45883</v>
      </c>
      <c r="S33" s="91">
        <f t="shared" si="2"/>
        <v>46801</v>
      </c>
    </row>
    <row r="34" spans="1:19" ht="13.5" customHeight="1">
      <c r="A34" s="55">
        <v>201</v>
      </c>
      <c r="B34" s="55">
        <v>204</v>
      </c>
      <c r="C34" s="87"/>
      <c r="D34" s="87"/>
      <c r="E34" s="88">
        <v>430</v>
      </c>
      <c r="F34" s="87" t="s">
        <v>220</v>
      </c>
      <c r="G34" s="89">
        <v>6092</v>
      </c>
      <c r="H34" s="89">
        <v>6424</v>
      </c>
      <c r="I34" s="90" t="s">
        <v>221</v>
      </c>
      <c r="J34" s="91">
        <v>2</v>
      </c>
      <c r="K34" s="91">
        <v>1</v>
      </c>
      <c r="L34" s="131">
        <v>38712</v>
      </c>
      <c r="M34" s="91">
        <v>38712</v>
      </c>
      <c r="N34" s="91">
        <v>38712</v>
      </c>
      <c r="O34" s="91">
        <f t="shared" si="0"/>
        <v>39873</v>
      </c>
      <c r="P34" s="91">
        <v>2</v>
      </c>
      <c r="Q34" s="91">
        <v>1</v>
      </c>
      <c r="R34" s="91">
        <f t="shared" si="1"/>
        <v>40670</v>
      </c>
      <c r="S34" s="91">
        <f t="shared" si="2"/>
        <v>41483</v>
      </c>
    </row>
    <row r="35" spans="1:19" ht="13.5" customHeight="1">
      <c r="A35" s="55">
        <v>201</v>
      </c>
      <c r="B35" s="55">
        <v>204</v>
      </c>
      <c r="C35" s="87"/>
      <c r="D35" s="87"/>
      <c r="E35" s="88">
        <v>270</v>
      </c>
      <c r="F35" s="87" t="s">
        <v>222</v>
      </c>
      <c r="G35" s="89">
        <v>27825</v>
      </c>
      <c r="H35" s="89">
        <v>6463</v>
      </c>
      <c r="I35" s="90" t="s">
        <v>223</v>
      </c>
      <c r="J35" s="91"/>
      <c r="K35" s="91"/>
      <c r="L35" s="131">
        <v>55244</v>
      </c>
      <c r="M35" s="91">
        <v>55244</v>
      </c>
      <c r="N35" s="91">
        <v>55244</v>
      </c>
      <c r="O35" s="91">
        <f t="shared" si="0"/>
        <v>56901</v>
      </c>
      <c r="P35" s="91"/>
      <c r="Q35" s="91"/>
      <c r="R35" s="91">
        <f t="shared" si="1"/>
        <v>58039</v>
      </c>
      <c r="S35" s="91">
        <f t="shared" si="2"/>
        <v>59200</v>
      </c>
    </row>
    <row r="36" spans="1:19" ht="13.5" customHeight="1">
      <c r="A36" s="55">
        <v>201</v>
      </c>
      <c r="B36" s="55">
        <v>204</v>
      </c>
      <c r="C36" s="87"/>
      <c r="D36" s="87"/>
      <c r="E36" s="88">
        <v>4550</v>
      </c>
      <c r="F36" s="87" t="s">
        <v>224</v>
      </c>
      <c r="G36" s="89">
        <v>6624</v>
      </c>
      <c r="H36" s="89">
        <v>6533</v>
      </c>
      <c r="I36" s="90" t="s">
        <v>225</v>
      </c>
      <c r="J36" s="91">
        <v>6</v>
      </c>
      <c r="K36" s="91">
        <v>2</v>
      </c>
      <c r="L36" s="131">
        <v>48887</v>
      </c>
      <c r="M36" s="91">
        <v>48887</v>
      </c>
      <c r="N36" s="91">
        <v>48887</v>
      </c>
      <c r="O36" s="91">
        <f t="shared" si="0"/>
        <v>50354</v>
      </c>
      <c r="P36" s="91">
        <v>6</v>
      </c>
      <c r="Q36" s="91">
        <v>2</v>
      </c>
      <c r="R36" s="91">
        <f t="shared" si="1"/>
        <v>51361</v>
      </c>
      <c r="S36" s="91">
        <f t="shared" si="2"/>
        <v>52388</v>
      </c>
    </row>
    <row r="37" spans="1:19" ht="13.5" customHeight="1">
      <c r="A37" s="55">
        <v>201</v>
      </c>
      <c r="B37" s="55">
        <v>204</v>
      </c>
      <c r="C37" s="87"/>
      <c r="D37" s="87"/>
      <c r="E37" s="88">
        <v>4540</v>
      </c>
      <c r="F37" s="87" t="s">
        <v>226</v>
      </c>
      <c r="G37" s="89"/>
      <c r="H37" s="89">
        <v>6533</v>
      </c>
      <c r="I37" s="90" t="s">
        <v>199</v>
      </c>
      <c r="J37" s="91">
        <v>6</v>
      </c>
      <c r="K37" s="91">
        <v>2</v>
      </c>
      <c r="L37" s="131">
        <v>1</v>
      </c>
      <c r="M37" s="91">
        <v>1</v>
      </c>
      <c r="N37" s="91">
        <v>1</v>
      </c>
      <c r="O37" s="91">
        <f t="shared" si="0"/>
        <v>1</v>
      </c>
      <c r="P37" s="91">
        <v>6</v>
      </c>
      <c r="Q37" s="91">
        <v>2</v>
      </c>
      <c r="R37" s="91">
        <f t="shared" si="1"/>
        <v>1</v>
      </c>
      <c r="S37" s="91">
        <f t="shared" si="2"/>
        <v>1</v>
      </c>
    </row>
    <row r="38" spans="1:19" ht="13.5" customHeight="1">
      <c r="A38" s="55">
        <v>201</v>
      </c>
      <c r="B38" s="55">
        <v>204</v>
      </c>
      <c r="C38" s="87"/>
      <c r="D38" s="87"/>
      <c r="E38" s="88">
        <v>2150</v>
      </c>
      <c r="F38" s="87" t="s">
        <v>227</v>
      </c>
      <c r="G38" s="89">
        <v>6410</v>
      </c>
      <c r="H38" s="89">
        <v>6423</v>
      </c>
      <c r="I38" s="90" t="s">
        <v>228</v>
      </c>
      <c r="J38" s="91">
        <v>1</v>
      </c>
      <c r="K38" s="91">
        <v>3</v>
      </c>
      <c r="L38" s="131">
        <v>36598</v>
      </c>
      <c r="M38" s="91">
        <v>36598</v>
      </c>
      <c r="N38" s="91">
        <v>36598</v>
      </c>
      <c r="O38" s="91">
        <f t="shared" si="0"/>
        <v>37696</v>
      </c>
      <c r="P38" s="91">
        <v>1</v>
      </c>
      <c r="Q38" s="91">
        <v>3</v>
      </c>
      <c r="R38" s="91">
        <f t="shared" si="1"/>
        <v>38450</v>
      </c>
      <c r="S38" s="91">
        <f t="shared" si="2"/>
        <v>39219</v>
      </c>
    </row>
    <row r="39" spans="1:19" ht="13.5" customHeight="1">
      <c r="A39" s="55">
        <v>201</v>
      </c>
      <c r="B39" s="55">
        <v>204</v>
      </c>
      <c r="C39" s="87"/>
      <c r="D39" s="87"/>
      <c r="E39" s="88">
        <v>610</v>
      </c>
      <c r="F39" s="87" t="s">
        <v>229</v>
      </c>
      <c r="G39" s="89">
        <v>6613</v>
      </c>
      <c r="H39" s="89">
        <v>6423</v>
      </c>
      <c r="I39" s="90" t="s">
        <v>230</v>
      </c>
      <c r="J39" s="91">
        <v>2</v>
      </c>
      <c r="K39" s="91">
        <v>4</v>
      </c>
      <c r="L39" s="131">
        <v>41451</v>
      </c>
      <c r="M39" s="91">
        <v>41451</v>
      </c>
      <c r="N39" s="91">
        <v>41451</v>
      </c>
      <c r="O39" s="91">
        <f t="shared" si="0"/>
        <v>42695</v>
      </c>
      <c r="P39" s="91">
        <v>2</v>
      </c>
      <c r="Q39" s="91">
        <v>4</v>
      </c>
      <c r="R39" s="91">
        <f t="shared" si="1"/>
        <v>43549</v>
      </c>
      <c r="S39" s="91">
        <f t="shared" si="2"/>
        <v>44420</v>
      </c>
    </row>
    <row r="40" spans="1:19" ht="13.5" customHeight="1">
      <c r="A40" s="55">
        <v>201</v>
      </c>
      <c r="B40" s="55">
        <v>204</v>
      </c>
      <c r="C40" s="87"/>
      <c r="D40" s="87"/>
      <c r="E40" s="88">
        <v>340</v>
      </c>
      <c r="F40" s="87" t="s">
        <v>231</v>
      </c>
      <c r="G40" s="89"/>
      <c r="H40" s="89">
        <v>6449</v>
      </c>
      <c r="I40" s="90" t="s">
        <v>199</v>
      </c>
      <c r="J40" s="91">
        <v>4</v>
      </c>
      <c r="K40" s="91">
        <v>7</v>
      </c>
      <c r="L40" s="131">
        <v>49171</v>
      </c>
      <c r="M40" s="91">
        <v>49171</v>
      </c>
      <c r="N40" s="91">
        <v>49171</v>
      </c>
      <c r="O40" s="91">
        <f t="shared" si="0"/>
        <v>50646</v>
      </c>
      <c r="P40" s="91">
        <v>4</v>
      </c>
      <c r="Q40" s="91">
        <v>7</v>
      </c>
      <c r="R40" s="91">
        <f t="shared" si="1"/>
        <v>51659</v>
      </c>
      <c r="S40" s="91">
        <f t="shared" si="2"/>
        <v>52692</v>
      </c>
    </row>
    <row r="41" spans="1:19" ht="13.5" customHeight="1">
      <c r="A41" s="55">
        <v>201</v>
      </c>
      <c r="B41" s="55">
        <v>204</v>
      </c>
      <c r="C41" s="87"/>
      <c r="D41" s="87"/>
      <c r="E41" s="88">
        <v>2330</v>
      </c>
      <c r="F41" s="87" t="s">
        <v>231</v>
      </c>
      <c r="G41" s="89">
        <v>6748</v>
      </c>
      <c r="H41" s="89">
        <v>6449</v>
      </c>
      <c r="I41" s="90" t="s">
        <v>232</v>
      </c>
      <c r="J41" s="91">
        <v>4</v>
      </c>
      <c r="K41" s="91">
        <v>4</v>
      </c>
      <c r="L41" s="131">
        <v>45566</v>
      </c>
      <c r="M41" s="91">
        <v>45566</v>
      </c>
      <c r="N41" s="91">
        <v>45566</v>
      </c>
      <c r="O41" s="91">
        <f t="shared" si="0"/>
        <v>46933</v>
      </c>
      <c r="P41" s="91">
        <v>4</v>
      </c>
      <c r="Q41" s="91">
        <v>4</v>
      </c>
      <c r="R41" s="91">
        <f t="shared" si="1"/>
        <v>47872</v>
      </c>
      <c r="S41" s="91">
        <f t="shared" si="2"/>
        <v>48829</v>
      </c>
    </row>
    <row r="42" spans="1:19" ht="13.5" customHeight="1">
      <c r="A42" s="55">
        <v>201</v>
      </c>
      <c r="B42" s="55">
        <v>204</v>
      </c>
      <c r="C42" s="87"/>
      <c r="D42" s="87"/>
      <c r="E42" s="88">
        <v>9980</v>
      </c>
      <c r="F42" s="87" t="s">
        <v>233</v>
      </c>
      <c r="G42" s="89">
        <v>22167</v>
      </c>
      <c r="H42" s="89">
        <v>6390</v>
      </c>
      <c r="I42" s="90" t="s">
        <v>234</v>
      </c>
      <c r="J42" s="91">
        <v>1</v>
      </c>
      <c r="K42" s="91">
        <v>1</v>
      </c>
      <c r="L42" s="131">
        <v>35154</v>
      </c>
      <c r="M42" s="91">
        <v>35154</v>
      </c>
      <c r="N42" s="91">
        <v>35154</v>
      </c>
      <c r="O42" s="91">
        <f t="shared" si="0"/>
        <v>36209</v>
      </c>
      <c r="P42" s="91">
        <v>1</v>
      </c>
      <c r="Q42" s="91">
        <v>1</v>
      </c>
      <c r="R42" s="91">
        <f t="shared" si="1"/>
        <v>36933</v>
      </c>
      <c r="S42" s="91">
        <f t="shared" si="2"/>
        <v>37672</v>
      </c>
    </row>
    <row r="43" spans="1:19" ht="13.5" customHeight="1">
      <c r="A43" s="55">
        <v>201</v>
      </c>
      <c r="B43" s="55">
        <v>204</v>
      </c>
      <c r="C43" s="87"/>
      <c r="D43" s="87"/>
      <c r="E43" s="88">
        <v>5140</v>
      </c>
      <c r="F43" s="87" t="s">
        <v>233</v>
      </c>
      <c r="G43" s="89">
        <v>6096</v>
      </c>
      <c r="H43" s="89">
        <v>6390</v>
      </c>
      <c r="I43" s="90" t="s">
        <v>235</v>
      </c>
      <c r="J43" s="91">
        <v>1</v>
      </c>
      <c r="K43" s="91">
        <v>3</v>
      </c>
      <c r="L43" s="131">
        <v>36598</v>
      </c>
      <c r="M43" s="91">
        <v>36598</v>
      </c>
      <c r="N43" s="91">
        <v>36598</v>
      </c>
      <c r="O43" s="91">
        <f t="shared" si="0"/>
        <v>37696</v>
      </c>
      <c r="P43" s="91">
        <v>1</v>
      </c>
      <c r="Q43" s="91">
        <v>3</v>
      </c>
      <c r="R43" s="91">
        <f t="shared" si="1"/>
        <v>38450</v>
      </c>
      <c r="S43" s="91">
        <f t="shared" si="2"/>
        <v>39219</v>
      </c>
    </row>
    <row r="44" spans="1:19" ht="13.5" customHeight="1">
      <c r="A44" s="55">
        <v>201</v>
      </c>
      <c r="B44" s="55">
        <v>204</v>
      </c>
      <c r="C44" s="87"/>
      <c r="D44" s="87"/>
      <c r="E44" s="88">
        <v>1030</v>
      </c>
      <c r="F44" s="87" t="s">
        <v>236</v>
      </c>
      <c r="G44" s="89"/>
      <c r="H44" s="89">
        <v>6476</v>
      </c>
      <c r="I44" s="90" t="s">
        <v>199</v>
      </c>
      <c r="J44" s="91">
        <v>1</v>
      </c>
      <c r="K44" s="91">
        <v>8</v>
      </c>
      <c r="L44" s="131">
        <v>41258</v>
      </c>
      <c r="M44" s="91">
        <v>41258</v>
      </c>
      <c r="N44" s="91">
        <v>41258</v>
      </c>
      <c r="O44" s="91">
        <f t="shared" si="0"/>
        <v>42496</v>
      </c>
      <c r="P44" s="91">
        <v>1</v>
      </c>
      <c r="Q44" s="91">
        <v>8</v>
      </c>
      <c r="R44" s="91">
        <f t="shared" si="1"/>
        <v>43346</v>
      </c>
      <c r="S44" s="91">
        <f t="shared" si="2"/>
        <v>44213</v>
      </c>
    </row>
    <row r="45" spans="1:19" ht="13.5" customHeight="1">
      <c r="A45" s="55">
        <v>201</v>
      </c>
      <c r="B45" s="55">
        <v>204</v>
      </c>
      <c r="C45" s="87"/>
      <c r="D45" s="87"/>
      <c r="E45" s="88">
        <v>1040</v>
      </c>
      <c r="F45" s="87" t="s">
        <v>236</v>
      </c>
      <c r="G45" s="89"/>
      <c r="H45" s="89">
        <v>6474</v>
      </c>
      <c r="I45" s="90" t="s">
        <v>199</v>
      </c>
      <c r="J45" s="91">
        <v>1</v>
      </c>
      <c r="K45" s="91">
        <v>8</v>
      </c>
      <c r="L45" s="131">
        <v>41258</v>
      </c>
      <c r="M45" s="91">
        <v>41258</v>
      </c>
      <c r="N45" s="91">
        <v>41258</v>
      </c>
      <c r="O45" s="91">
        <f t="shared" si="0"/>
        <v>42496</v>
      </c>
      <c r="P45" s="91">
        <v>1</v>
      </c>
      <c r="Q45" s="91">
        <v>8</v>
      </c>
      <c r="R45" s="91">
        <f t="shared" si="1"/>
        <v>43346</v>
      </c>
      <c r="S45" s="91">
        <f t="shared" si="2"/>
        <v>44213</v>
      </c>
    </row>
    <row r="46" spans="1:19" ht="12" customHeight="1">
      <c r="A46" s="55">
        <v>201</v>
      </c>
      <c r="B46" s="55">
        <v>204</v>
      </c>
      <c r="C46" s="87"/>
      <c r="D46" s="87"/>
      <c r="E46" s="93">
        <v>10001</v>
      </c>
      <c r="F46" s="87" t="s">
        <v>236</v>
      </c>
      <c r="G46" s="94">
        <v>13220</v>
      </c>
      <c r="H46" s="94">
        <v>6474</v>
      </c>
      <c r="I46" s="90" t="s">
        <v>237</v>
      </c>
      <c r="J46" s="91">
        <v>1</v>
      </c>
      <c r="K46" s="91">
        <v>8</v>
      </c>
      <c r="L46" s="131">
        <v>41258</v>
      </c>
      <c r="M46" s="91">
        <v>41258</v>
      </c>
      <c r="N46" s="91">
        <v>41258</v>
      </c>
      <c r="O46" s="91">
        <f t="shared" si="0"/>
        <v>42496</v>
      </c>
      <c r="P46" s="91">
        <v>1</v>
      </c>
      <c r="Q46" s="91">
        <v>8</v>
      </c>
      <c r="R46" s="91">
        <f t="shared" si="1"/>
        <v>43346</v>
      </c>
      <c r="S46" s="91">
        <f t="shared" si="2"/>
        <v>44213</v>
      </c>
    </row>
    <row r="47" spans="1:19" ht="12.75">
      <c r="A47" s="55">
        <v>201</v>
      </c>
      <c r="B47" s="55">
        <v>204</v>
      </c>
      <c r="C47" s="87"/>
      <c r="D47" s="87"/>
      <c r="E47" s="93">
        <v>6000</v>
      </c>
      <c r="F47" s="87" t="s">
        <v>236</v>
      </c>
      <c r="G47" s="94">
        <v>26026</v>
      </c>
      <c r="H47" s="94">
        <v>6474</v>
      </c>
      <c r="I47" s="90" t="s">
        <v>238</v>
      </c>
      <c r="J47" s="91">
        <v>1</v>
      </c>
      <c r="K47" s="91">
        <v>8</v>
      </c>
      <c r="L47" s="131">
        <v>41258</v>
      </c>
      <c r="M47" s="91">
        <v>41258</v>
      </c>
      <c r="N47" s="91">
        <v>41258</v>
      </c>
      <c r="O47" s="91">
        <f t="shared" si="0"/>
        <v>42496</v>
      </c>
      <c r="P47" s="91">
        <v>1</v>
      </c>
      <c r="Q47" s="91">
        <v>8</v>
      </c>
      <c r="R47" s="91">
        <f t="shared" si="1"/>
        <v>43346</v>
      </c>
      <c r="S47" s="91">
        <f t="shared" si="2"/>
        <v>44213</v>
      </c>
    </row>
    <row r="48" spans="1:19" ht="12.75">
      <c r="A48" s="55">
        <v>201</v>
      </c>
      <c r="B48" s="55">
        <v>204</v>
      </c>
      <c r="C48" s="87"/>
      <c r="D48" s="87"/>
      <c r="E48" s="88">
        <v>1700</v>
      </c>
      <c r="F48" s="87" t="s">
        <v>236</v>
      </c>
      <c r="G48" s="89">
        <v>6491</v>
      </c>
      <c r="H48" s="89">
        <v>6476</v>
      </c>
      <c r="I48" s="90" t="s">
        <v>239</v>
      </c>
      <c r="J48" s="91">
        <v>1</v>
      </c>
      <c r="K48" s="91">
        <v>8</v>
      </c>
      <c r="L48" s="131">
        <v>41258</v>
      </c>
      <c r="M48" s="91">
        <v>41258</v>
      </c>
      <c r="N48" s="91">
        <v>41258</v>
      </c>
      <c r="O48" s="91">
        <f t="shared" si="0"/>
        <v>42496</v>
      </c>
      <c r="P48" s="91">
        <v>1</v>
      </c>
      <c r="Q48" s="91">
        <v>8</v>
      </c>
      <c r="R48" s="91">
        <f t="shared" si="1"/>
        <v>43346</v>
      </c>
      <c r="S48" s="91">
        <f t="shared" si="2"/>
        <v>44213</v>
      </c>
    </row>
    <row r="49" spans="1:19" ht="12.75">
      <c r="A49" s="55">
        <v>201</v>
      </c>
      <c r="B49" s="55">
        <v>204</v>
      </c>
      <c r="C49" s="87"/>
      <c r="D49" s="87"/>
      <c r="E49" s="88">
        <v>1050</v>
      </c>
      <c r="F49" s="87" t="s">
        <v>236</v>
      </c>
      <c r="G49" s="89">
        <v>30838</v>
      </c>
      <c r="H49" s="89">
        <v>6476</v>
      </c>
      <c r="I49" s="90" t="s">
        <v>240</v>
      </c>
      <c r="J49" s="91">
        <v>1</v>
      </c>
      <c r="K49" s="91">
        <v>8</v>
      </c>
      <c r="L49" s="131">
        <v>41258</v>
      </c>
      <c r="M49" s="91">
        <v>41258</v>
      </c>
      <c r="N49" s="91">
        <v>41258</v>
      </c>
      <c r="O49" s="91">
        <f t="shared" si="0"/>
        <v>42496</v>
      </c>
      <c r="P49" s="91">
        <v>1</v>
      </c>
      <c r="Q49" s="91">
        <v>8</v>
      </c>
      <c r="R49" s="91">
        <f t="shared" si="1"/>
        <v>43346</v>
      </c>
      <c r="S49" s="91">
        <f t="shared" si="2"/>
        <v>44213</v>
      </c>
    </row>
    <row r="50" spans="1:19" ht="13.5" customHeight="1">
      <c r="A50" s="55">
        <v>201</v>
      </c>
      <c r="B50" s="55">
        <v>204</v>
      </c>
      <c r="C50" s="87"/>
      <c r="D50" s="87"/>
      <c r="E50" s="88">
        <v>1020</v>
      </c>
      <c r="F50" s="87" t="s">
        <v>236</v>
      </c>
      <c r="G50" s="89">
        <v>15526</v>
      </c>
      <c r="H50" s="89">
        <v>6476</v>
      </c>
      <c r="I50" s="90" t="s">
        <v>241</v>
      </c>
      <c r="J50" s="91">
        <v>1</v>
      </c>
      <c r="K50" s="91">
        <v>8</v>
      </c>
      <c r="L50" s="131">
        <v>41258</v>
      </c>
      <c r="M50" s="91">
        <v>41258</v>
      </c>
      <c r="N50" s="91">
        <v>41258</v>
      </c>
      <c r="O50" s="91">
        <f t="shared" si="0"/>
        <v>42496</v>
      </c>
      <c r="P50" s="91">
        <v>1</v>
      </c>
      <c r="Q50" s="91">
        <v>8</v>
      </c>
      <c r="R50" s="91">
        <f t="shared" si="1"/>
        <v>43346</v>
      </c>
      <c r="S50" s="91">
        <f t="shared" si="2"/>
        <v>44213</v>
      </c>
    </row>
    <row r="51" spans="1:19" ht="13.5" customHeight="1">
      <c r="A51" s="55">
        <v>201</v>
      </c>
      <c r="B51" s="55">
        <v>204</v>
      </c>
      <c r="C51" s="87"/>
      <c r="D51" s="87"/>
      <c r="E51" s="88">
        <v>970</v>
      </c>
      <c r="F51" s="87" t="s">
        <v>236</v>
      </c>
      <c r="G51" s="89">
        <v>6653</v>
      </c>
      <c r="H51" s="89">
        <v>6476</v>
      </c>
      <c r="I51" s="90" t="s">
        <v>242</v>
      </c>
      <c r="J51" s="91">
        <v>1</v>
      </c>
      <c r="K51" s="91">
        <v>8</v>
      </c>
      <c r="L51" s="131">
        <v>41258</v>
      </c>
      <c r="M51" s="91">
        <v>41258</v>
      </c>
      <c r="N51" s="91">
        <v>41258</v>
      </c>
      <c r="O51" s="91">
        <f t="shared" si="0"/>
        <v>42496</v>
      </c>
      <c r="P51" s="91">
        <v>1</v>
      </c>
      <c r="Q51" s="91">
        <v>8</v>
      </c>
      <c r="R51" s="91">
        <f t="shared" si="1"/>
        <v>43346</v>
      </c>
      <c r="S51" s="91">
        <f t="shared" si="2"/>
        <v>44213</v>
      </c>
    </row>
    <row r="52" spans="1:19" ht="13.5" customHeight="1">
      <c r="A52" s="55">
        <v>201</v>
      </c>
      <c r="B52" s="55">
        <v>204</v>
      </c>
      <c r="C52" s="87"/>
      <c r="D52" s="87"/>
      <c r="E52" s="88">
        <v>1000</v>
      </c>
      <c r="F52" s="87" t="s">
        <v>236</v>
      </c>
      <c r="G52" s="89">
        <v>29811</v>
      </c>
      <c r="H52" s="89">
        <v>6476</v>
      </c>
      <c r="I52" s="90" t="s">
        <v>243</v>
      </c>
      <c r="J52" s="91">
        <v>1</v>
      </c>
      <c r="K52" s="91">
        <v>8</v>
      </c>
      <c r="L52" s="131">
        <v>41258</v>
      </c>
      <c r="M52" s="91">
        <v>41258</v>
      </c>
      <c r="N52" s="91">
        <v>41258</v>
      </c>
      <c r="O52" s="91">
        <f t="shared" si="0"/>
        <v>42496</v>
      </c>
      <c r="P52" s="91">
        <v>1</v>
      </c>
      <c r="Q52" s="91">
        <v>8</v>
      </c>
      <c r="R52" s="91">
        <f t="shared" si="1"/>
        <v>43346</v>
      </c>
      <c r="S52" s="91">
        <f t="shared" si="2"/>
        <v>44213</v>
      </c>
    </row>
    <row r="53" spans="1:19" ht="13.5" customHeight="1">
      <c r="A53" s="55">
        <v>201</v>
      </c>
      <c r="B53" s="55">
        <v>204</v>
      </c>
      <c r="C53" s="87"/>
      <c r="D53" s="87"/>
      <c r="E53" s="93">
        <v>6010</v>
      </c>
      <c r="F53" s="87" t="s">
        <v>236</v>
      </c>
      <c r="G53" s="94">
        <v>26029</v>
      </c>
      <c r="H53" s="94">
        <v>6474</v>
      </c>
      <c r="I53" s="90" t="s">
        <v>244</v>
      </c>
      <c r="J53" s="91">
        <v>1</v>
      </c>
      <c r="K53" s="91">
        <v>8</v>
      </c>
      <c r="L53" s="131">
        <v>41258</v>
      </c>
      <c r="M53" s="91">
        <v>41258</v>
      </c>
      <c r="N53" s="91">
        <v>41258</v>
      </c>
      <c r="O53" s="91">
        <f t="shared" si="0"/>
        <v>42496</v>
      </c>
      <c r="P53" s="91">
        <v>1</v>
      </c>
      <c r="Q53" s="91">
        <v>8</v>
      </c>
      <c r="R53" s="91">
        <f t="shared" si="1"/>
        <v>43346</v>
      </c>
      <c r="S53" s="91">
        <f t="shared" si="2"/>
        <v>44213</v>
      </c>
    </row>
    <row r="54" spans="1:19" ht="13.5" customHeight="1">
      <c r="A54" s="55">
        <v>201</v>
      </c>
      <c r="B54" s="55">
        <v>204</v>
      </c>
      <c r="C54" s="87"/>
      <c r="D54" s="87"/>
      <c r="E54" s="88">
        <v>2100</v>
      </c>
      <c r="F54" s="87" t="s">
        <v>245</v>
      </c>
      <c r="G54" s="89"/>
      <c r="H54" s="89">
        <v>6466</v>
      </c>
      <c r="I54" s="90" t="s">
        <v>199</v>
      </c>
      <c r="J54" s="91"/>
      <c r="K54" s="91"/>
      <c r="L54" s="131">
        <v>53415</v>
      </c>
      <c r="M54" s="91">
        <v>53415</v>
      </c>
      <c r="N54" s="91">
        <v>53415</v>
      </c>
      <c r="O54" s="91">
        <f t="shared" si="0"/>
        <v>55017</v>
      </c>
      <c r="P54" s="91"/>
      <c r="Q54" s="91"/>
      <c r="R54" s="91">
        <f t="shared" si="1"/>
        <v>56117</v>
      </c>
      <c r="S54" s="91">
        <f t="shared" si="2"/>
        <v>57239</v>
      </c>
    </row>
    <row r="55" spans="1:19" ht="13.5" customHeight="1">
      <c r="A55" s="55">
        <v>201</v>
      </c>
      <c r="B55" s="55">
        <v>204</v>
      </c>
      <c r="C55" s="87"/>
      <c r="D55" s="87"/>
      <c r="E55" s="88">
        <v>9900</v>
      </c>
      <c r="F55" s="87" t="s">
        <v>246</v>
      </c>
      <c r="G55" s="89">
        <v>6282</v>
      </c>
      <c r="H55" s="89">
        <v>6389</v>
      </c>
      <c r="I55" s="90" t="s">
        <v>247</v>
      </c>
      <c r="J55" s="91">
        <v>3</v>
      </c>
      <c r="K55" s="91">
        <v>4</v>
      </c>
      <c r="L55" s="131">
        <v>44193</v>
      </c>
      <c r="M55" s="91">
        <v>44193</v>
      </c>
      <c r="N55" s="91">
        <v>44193</v>
      </c>
      <c r="O55" s="91">
        <f t="shared" si="0"/>
        <v>45519</v>
      </c>
      <c r="P55" s="91">
        <v>3</v>
      </c>
      <c r="Q55" s="91">
        <v>4</v>
      </c>
      <c r="R55" s="91">
        <f t="shared" si="1"/>
        <v>46429</v>
      </c>
      <c r="S55" s="91">
        <f t="shared" si="2"/>
        <v>47358</v>
      </c>
    </row>
    <row r="56" spans="1:19" ht="13.5" customHeight="1">
      <c r="A56" s="55">
        <v>201</v>
      </c>
      <c r="B56" s="55">
        <v>204</v>
      </c>
      <c r="C56" s="87"/>
      <c r="D56" s="87"/>
      <c r="E56" s="88">
        <v>10027</v>
      </c>
      <c r="F56" s="87" t="s">
        <v>246</v>
      </c>
      <c r="G56" s="89">
        <v>22678</v>
      </c>
      <c r="H56" s="89">
        <v>6389</v>
      </c>
      <c r="I56" s="90" t="s">
        <v>248</v>
      </c>
      <c r="J56" s="91">
        <v>3</v>
      </c>
      <c r="K56" s="91">
        <v>1</v>
      </c>
      <c r="L56" s="131">
        <v>41451</v>
      </c>
      <c r="M56" s="91">
        <v>41451</v>
      </c>
      <c r="N56" s="91">
        <v>41451</v>
      </c>
      <c r="O56" s="91">
        <f t="shared" si="0"/>
        <v>42695</v>
      </c>
      <c r="P56" s="91">
        <v>3</v>
      </c>
      <c r="Q56" s="91">
        <v>1</v>
      </c>
      <c r="R56" s="91">
        <f t="shared" si="1"/>
        <v>43549</v>
      </c>
      <c r="S56" s="91">
        <f t="shared" si="2"/>
        <v>44420</v>
      </c>
    </row>
    <row r="57" spans="1:19" ht="13.5" customHeight="1">
      <c r="A57" s="55">
        <v>201</v>
      </c>
      <c r="B57" s="55">
        <v>204</v>
      </c>
      <c r="C57" s="87"/>
      <c r="D57" s="87"/>
      <c r="E57" s="88">
        <v>410</v>
      </c>
      <c r="F57" s="87" t="s">
        <v>249</v>
      </c>
      <c r="G57" s="89">
        <v>22706</v>
      </c>
      <c r="H57" s="89">
        <v>6454</v>
      </c>
      <c r="I57" s="90" t="s">
        <v>250</v>
      </c>
      <c r="J57" s="91">
        <v>12</v>
      </c>
      <c r="K57" s="91">
        <v>1</v>
      </c>
      <c r="L57" s="131">
        <v>50381</v>
      </c>
      <c r="M57" s="91">
        <v>50381</v>
      </c>
      <c r="N57" s="91">
        <v>50381</v>
      </c>
      <c r="O57" s="91">
        <f t="shared" si="0"/>
        <v>51892</v>
      </c>
      <c r="P57" s="91">
        <v>7</v>
      </c>
      <c r="Q57" s="91">
        <v>4</v>
      </c>
      <c r="R57" s="91">
        <f t="shared" si="1"/>
        <v>52930</v>
      </c>
      <c r="S57" s="91">
        <f t="shared" si="2"/>
        <v>53989</v>
      </c>
    </row>
    <row r="58" spans="1:19" ht="13.5" customHeight="1">
      <c r="A58" s="55">
        <v>201</v>
      </c>
      <c r="B58" s="55">
        <v>204</v>
      </c>
      <c r="C58" s="87"/>
      <c r="D58" s="87"/>
      <c r="E58" s="88">
        <v>370</v>
      </c>
      <c r="F58" s="87" t="s">
        <v>251</v>
      </c>
      <c r="G58" s="89">
        <v>6712</v>
      </c>
      <c r="H58" s="89">
        <v>6428</v>
      </c>
      <c r="I58" s="90" t="s">
        <v>252</v>
      </c>
      <c r="J58" s="91">
        <v>5</v>
      </c>
      <c r="K58" s="91">
        <v>8</v>
      </c>
      <c r="L58" s="131">
        <v>52317</v>
      </c>
      <c r="M58" s="91">
        <v>52317</v>
      </c>
      <c r="N58" s="91">
        <v>52317</v>
      </c>
      <c r="O58" s="91">
        <f t="shared" si="0"/>
        <v>53887</v>
      </c>
      <c r="P58" s="91">
        <v>5</v>
      </c>
      <c r="Q58" s="91">
        <v>8</v>
      </c>
      <c r="R58" s="91">
        <f t="shared" si="1"/>
        <v>54965</v>
      </c>
      <c r="S58" s="91">
        <f t="shared" si="2"/>
        <v>56064</v>
      </c>
    </row>
    <row r="59" spans="1:19" ht="13.5" customHeight="1">
      <c r="A59" s="55">
        <v>201</v>
      </c>
      <c r="B59" s="55">
        <v>213</v>
      </c>
      <c r="C59" s="87"/>
      <c r="D59" s="87"/>
      <c r="E59" s="88">
        <v>400</v>
      </c>
      <c r="F59" s="87" t="s">
        <v>251</v>
      </c>
      <c r="G59" s="89">
        <v>6328</v>
      </c>
      <c r="H59" s="89">
        <v>6422</v>
      </c>
      <c r="I59" s="90" t="s">
        <v>253</v>
      </c>
      <c r="J59" s="91">
        <v>5</v>
      </c>
      <c r="K59" s="91">
        <v>8</v>
      </c>
      <c r="L59" s="131">
        <v>52317</v>
      </c>
      <c r="M59" s="91">
        <v>52317</v>
      </c>
      <c r="N59" s="91">
        <v>52317</v>
      </c>
      <c r="O59" s="91">
        <f t="shared" si="0"/>
        <v>53887</v>
      </c>
      <c r="P59" s="91">
        <v>5</v>
      </c>
      <c r="Q59" s="91">
        <v>8</v>
      </c>
      <c r="R59" s="91">
        <f t="shared" si="1"/>
        <v>54965</v>
      </c>
      <c r="S59" s="91">
        <f t="shared" si="2"/>
        <v>56064</v>
      </c>
    </row>
    <row r="60" spans="1:19" ht="13.5" customHeight="1">
      <c r="A60" s="55">
        <v>201</v>
      </c>
      <c r="B60" s="55">
        <v>213</v>
      </c>
      <c r="C60" s="87"/>
      <c r="D60" s="87"/>
      <c r="E60" s="88">
        <v>2300</v>
      </c>
      <c r="F60" s="87" t="s">
        <v>254</v>
      </c>
      <c r="G60" s="89">
        <v>6197</v>
      </c>
      <c r="H60" s="89">
        <v>6465</v>
      </c>
      <c r="I60" s="90" t="s">
        <v>255</v>
      </c>
      <c r="J60" s="91"/>
      <c r="K60" s="91"/>
      <c r="L60" s="131">
        <v>58150</v>
      </c>
      <c r="M60" s="91">
        <v>58150</v>
      </c>
      <c r="N60" s="91">
        <v>58150</v>
      </c>
      <c r="O60" s="91">
        <f t="shared" si="0"/>
        <v>59895</v>
      </c>
      <c r="P60" s="91"/>
      <c r="Q60" s="91"/>
      <c r="R60" s="91">
        <f t="shared" si="1"/>
        <v>61093</v>
      </c>
      <c r="S60" s="91">
        <f t="shared" si="2"/>
        <v>62315</v>
      </c>
    </row>
    <row r="61" spans="1:19" ht="13.5" customHeight="1">
      <c r="A61" s="55">
        <v>201</v>
      </c>
      <c r="B61" s="55">
        <v>213</v>
      </c>
      <c r="C61" s="87"/>
      <c r="D61" s="87"/>
      <c r="E61" s="88">
        <v>5570</v>
      </c>
      <c r="F61" s="87" t="s">
        <v>256</v>
      </c>
      <c r="G61" s="89">
        <v>6485</v>
      </c>
      <c r="H61" s="89">
        <v>6453</v>
      </c>
      <c r="I61" s="90" t="s">
        <v>257</v>
      </c>
      <c r="J61" s="91">
        <v>7</v>
      </c>
      <c r="K61" s="91">
        <v>7</v>
      </c>
      <c r="L61" s="131">
        <v>56778</v>
      </c>
      <c r="M61" s="91">
        <v>56778</v>
      </c>
      <c r="N61" s="91">
        <v>56778</v>
      </c>
      <c r="O61" s="91">
        <f t="shared" si="0"/>
        <v>58481</v>
      </c>
      <c r="P61" s="91">
        <v>7</v>
      </c>
      <c r="Q61" s="91">
        <v>7</v>
      </c>
      <c r="R61" s="91">
        <f t="shared" si="1"/>
        <v>59651</v>
      </c>
      <c r="S61" s="91">
        <f t="shared" si="2"/>
        <v>60844</v>
      </c>
    </row>
    <row r="62" spans="1:19" ht="13.5" customHeight="1">
      <c r="A62" s="55">
        <v>201</v>
      </c>
      <c r="B62" s="55">
        <v>213</v>
      </c>
      <c r="C62" s="87"/>
      <c r="D62" s="87"/>
      <c r="E62" s="88">
        <v>5610</v>
      </c>
      <c r="F62" s="87" t="s">
        <v>256</v>
      </c>
      <c r="G62" s="89">
        <v>537</v>
      </c>
      <c r="H62" s="89">
        <v>6453</v>
      </c>
      <c r="I62" s="90" t="s">
        <v>258</v>
      </c>
      <c r="J62" s="91">
        <v>7</v>
      </c>
      <c r="K62" s="91">
        <v>5</v>
      </c>
      <c r="L62" s="131">
        <v>54032</v>
      </c>
      <c r="M62" s="91">
        <v>54032</v>
      </c>
      <c r="N62" s="91">
        <v>54032</v>
      </c>
      <c r="O62" s="91">
        <f t="shared" si="0"/>
        <v>55653</v>
      </c>
      <c r="P62" s="91">
        <v>7</v>
      </c>
      <c r="Q62" s="91">
        <v>5</v>
      </c>
      <c r="R62" s="91">
        <f t="shared" si="1"/>
        <v>56766</v>
      </c>
      <c r="S62" s="91">
        <f t="shared" si="2"/>
        <v>57901</v>
      </c>
    </row>
    <row r="63" spans="3:19" ht="13.5" customHeight="1">
      <c r="C63" s="87"/>
      <c r="D63" s="87"/>
      <c r="E63" s="88">
        <v>5560</v>
      </c>
      <c r="F63" s="87" t="s">
        <v>256</v>
      </c>
      <c r="G63" s="89">
        <v>26533</v>
      </c>
      <c r="H63" s="89">
        <v>6453</v>
      </c>
      <c r="I63" s="90" t="s">
        <v>259</v>
      </c>
      <c r="J63" s="91">
        <v>7</v>
      </c>
      <c r="K63" s="91">
        <v>5</v>
      </c>
      <c r="L63" s="131">
        <v>54032</v>
      </c>
      <c r="M63" s="91">
        <v>54032</v>
      </c>
      <c r="N63" s="91">
        <v>54032</v>
      </c>
      <c r="O63" s="91">
        <f t="shared" si="0"/>
        <v>55653</v>
      </c>
      <c r="P63" s="91">
        <v>7</v>
      </c>
      <c r="Q63" s="91">
        <v>5</v>
      </c>
      <c r="R63" s="91">
        <f t="shared" si="1"/>
        <v>56766</v>
      </c>
      <c r="S63" s="91">
        <f t="shared" si="2"/>
        <v>57901</v>
      </c>
    </row>
    <row r="64" spans="3:19" ht="13.5" customHeight="1">
      <c r="C64" s="87"/>
      <c r="D64" s="87"/>
      <c r="E64" s="88">
        <v>5580</v>
      </c>
      <c r="F64" s="87" t="s">
        <v>256</v>
      </c>
      <c r="G64" s="89">
        <v>6055</v>
      </c>
      <c r="H64" s="89">
        <v>6454</v>
      </c>
      <c r="I64" s="90" t="s">
        <v>260</v>
      </c>
      <c r="J64" s="91">
        <v>7</v>
      </c>
      <c r="K64" s="91">
        <v>5</v>
      </c>
      <c r="L64" s="131">
        <v>54032</v>
      </c>
      <c r="M64" s="91">
        <v>54032</v>
      </c>
      <c r="N64" s="91">
        <v>54032</v>
      </c>
      <c r="O64" s="91">
        <f t="shared" si="0"/>
        <v>55653</v>
      </c>
      <c r="P64" s="91">
        <v>7</v>
      </c>
      <c r="Q64" s="91">
        <v>5</v>
      </c>
      <c r="R64" s="91">
        <f t="shared" si="1"/>
        <v>56766</v>
      </c>
      <c r="S64" s="91">
        <f t="shared" si="2"/>
        <v>57901</v>
      </c>
    </row>
    <row r="65" spans="3:19" ht="13.5" customHeight="1">
      <c r="C65" s="87"/>
      <c r="D65" s="87"/>
      <c r="E65" s="88">
        <v>400</v>
      </c>
      <c r="F65" s="87" t="s">
        <v>261</v>
      </c>
      <c r="G65" s="95">
        <v>6206</v>
      </c>
      <c r="H65" s="95">
        <v>6485</v>
      </c>
      <c r="I65" s="90" t="s">
        <v>262</v>
      </c>
      <c r="J65" s="91">
        <v>1</v>
      </c>
      <c r="K65" s="91">
        <v>8</v>
      </c>
      <c r="L65" s="131">
        <v>41258</v>
      </c>
      <c r="M65" s="91">
        <v>41258</v>
      </c>
      <c r="N65" s="91">
        <v>41258</v>
      </c>
      <c r="O65" s="91">
        <f t="shared" si="0"/>
        <v>42496</v>
      </c>
      <c r="P65" s="91">
        <v>1</v>
      </c>
      <c r="Q65" s="91">
        <v>8</v>
      </c>
      <c r="R65" s="91">
        <f t="shared" si="1"/>
        <v>43346</v>
      </c>
      <c r="S65" s="91">
        <f t="shared" si="2"/>
        <v>44213</v>
      </c>
    </row>
    <row r="66" spans="3:19" ht="13.5" customHeight="1">
      <c r="C66" s="87"/>
      <c r="D66" s="87"/>
      <c r="E66" s="93">
        <v>3080</v>
      </c>
      <c r="F66" s="87" t="s">
        <v>263</v>
      </c>
      <c r="G66" s="94">
        <v>6247</v>
      </c>
      <c r="H66" s="94">
        <v>6477</v>
      </c>
      <c r="I66" s="90" t="s">
        <v>264</v>
      </c>
      <c r="J66" s="91">
        <v>7</v>
      </c>
      <c r="K66" s="91">
        <v>4</v>
      </c>
      <c r="L66" s="131">
        <v>53119</v>
      </c>
      <c r="M66" s="91">
        <v>53119</v>
      </c>
      <c r="N66" s="91">
        <v>53119</v>
      </c>
      <c r="O66" s="91">
        <f t="shared" si="0"/>
        <v>54713</v>
      </c>
      <c r="P66" s="91">
        <v>7</v>
      </c>
      <c r="Q66" s="91">
        <v>4</v>
      </c>
      <c r="R66" s="91">
        <f t="shared" si="1"/>
        <v>55807</v>
      </c>
      <c r="S66" s="91">
        <f t="shared" si="2"/>
        <v>56923</v>
      </c>
    </row>
    <row r="67" spans="3:19" ht="13.5" customHeight="1">
      <c r="C67" s="87"/>
      <c r="D67" s="87"/>
      <c r="E67" s="88">
        <v>360</v>
      </c>
      <c r="F67" s="87" t="s">
        <v>265</v>
      </c>
      <c r="G67" s="89"/>
      <c r="H67" s="89">
        <v>6487</v>
      </c>
      <c r="I67" s="90" t="s">
        <v>199</v>
      </c>
      <c r="J67" s="91">
        <v>7</v>
      </c>
      <c r="K67" s="91">
        <v>8</v>
      </c>
      <c r="L67" s="131">
        <v>58150</v>
      </c>
      <c r="M67" s="91">
        <v>58150</v>
      </c>
      <c r="N67" s="91">
        <v>58150</v>
      </c>
      <c r="O67" s="91">
        <f t="shared" si="0"/>
        <v>59895</v>
      </c>
      <c r="P67" s="91">
        <v>7</v>
      </c>
      <c r="Q67" s="91">
        <v>8</v>
      </c>
      <c r="R67" s="91">
        <f t="shared" si="1"/>
        <v>61093</v>
      </c>
      <c r="S67" s="91">
        <f t="shared" si="2"/>
        <v>62315</v>
      </c>
    </row>
    <row r="68" spans="3:19" ht="13.5" customHeight="1">
      <c r="C68" s="87"/>
      <c r="D68" s="87"/>
      <c r="E68" s="88">
        <v>350</v>
      </c>
      <c r="F68" s="87" t="s">
        <v>265</v>
      </c>
      <c r="G68" s="89">
        <v>32239</v>
      </c>
      <c r="H68" s="89">
        <v>6453</v>
      </c>
      <c r="I68" s="90" t="s">
        <v>266</v>
      </c>
      <c r="J68" s="91">
        <v>7</v>
      </c>
      <c r="K68" s="91">
        <v>5</v>
      </c>
      <c r="L68" s="131">
        <v>54032</v>
      </c>
      <c r="M68" s="91">
        <v>54032</v>
      </c>
      <c r="N68" s="91">
        <v>54032</v>
      </c>
      <c r="O68" s="91">
        <f t="shared" si="0"/>
        <v>55653</v>
      </c>
      <c r="P68" s="91">
        <v>7</v>
      </c>
      <c r="Q68" s="91">
        <v>5</v>
      </c>
      <c r="R68" s="91">
        <f t="shared" si="1"/>
        <v>56766</v>
      </c>
      <c r="S68" s="91">
        <f t="shared" si="2"/>
        <v>57901</v>
      </c>
    </row>
    <row r="69" spans="3:19" ht="13.5" customHeight="1">
      <c r="C69" s="87"/>
      <c r="D69" s="87"/>
      <c r="E69" s="88">
        <v>320</v>
      </c>
      <c r="F69" s="87" t="s">
        <v>267</v>
      </c>
      <c r="G69" s="89">
        <v>30883</v>
      </c>
      <c r="H69" s="89">
        <v>6487</v>
      </c>
      <c r="I69" s="90" t="s">
        <v>268</v>
      </c>
      <c r="J69" s="91">
        <v>7</v>
      </c>
      <c r="K69" s="91">
        <v>5</v>
      </c>
      <c r="L69" s="131">
        <v>54032</v>
      </c>
      <c r="M69" s="91">
        <v>54032</v>
      </c>
      <c r="N69" s="91">
        <v>54032</v>
      </c>
      <c r="O69" s="91">
        <f t="shared" si="0"/>
        <v>55653</v>
      </c>
      <c r="P69" s="91">
        <v>7</v>
      </c>
      <c r="Q69" s="91">
        <v>5</v>
      </c>
      <c r="R69" s="91">
        <f t="shared" si="1"/>
        <v>56766</v>
      </c>
      <c r="S69" s="91">
        <f t="shared" si="2"/>
        <v>57901</v>
      </c>
    </row>
    <row r="70" spans="3:19" ht="13.5" customHeight="1">
      <c r="C70" s="87"/>
      <c r="D70" s="87"/>
      <c r="E70" s="88">
        <v>770</v>
      </c>
      <c r="F70" s="87" t="s">
        <v>269</v>
      </c>
      <c r="G70" s="89">
        <v>6433</v>
      </c>
      <c r="H70" s="89">
        <v>6426</v>
      </c>
      <c r="I70" s="90" t="s">
        <v>270</v>
      </c>
      <c r="J70" s="91">
        <v>4</v>
      </c>
      <c r="K70" s="91">
        <v>1</v>
      </c>
      <c r="L70" s="131">
        <v>42823</v>
      </c>
      <c r="M70" s="91">
        <v>42823</v>
      </c>
      <c r="N70" s="91">
        <v>42823</v>
      </c>
      <c r="O70" s="91">
        <f t="shared" si="0"/>
        <v>44108</v>
      </c>
      <c r="P70" s="91">
        <v>4</v>
      </c>
      <c r="Q70" s="91">
        <v>1</v>
      </c>
      <c r="R70" s="91">
        <f t="shared" si="1"/>
        <v>44990</v>
      </c>
      <c r="S70" s="91">
        <f t="shared" si="2"/>
        <v>45890</v>
      </c>
    </row>
    <row r="71" spans="3:19" ht="13.5" customHeight="1">
      <c r="C71" s="87"/>
      <c r="D71" s="87"/>
      <c r="E71" s="88">
        <v>2310</v>
      </c>
      <c r="F71" s="87" t="s">
        <v>269</v>
      </c>
      <c r="G71" s="89">
        <v>28443</v>
      </c>
      <c r="H71" s="89">
        <v>6426</v>
      </c>
      <c r="I71" s="90" t="s">
        <v>271</v>
      </c>
      <c r="J71" s="91">
        <v>4</v>
      </c>
      <c r="K71" s="91">
        <v>1</v>
      </c>
      <c r="L71" s="131">
        <v>42823</v>
      </c>
      <c r="M71" s="91">
        <v>42823</v>
      </c>
      <c r="N71" s="91">
        <v>42823</v>
      </c>
      <c r="O71" s="91">
        <f t="shared" si="0"/>
        <v>44108</v>
      </c>
      <c r="P71" s="91">
        <v>4</v>
      </c>
      <c r="Q71" s="91">
        <v>1</v>
      </c>
      <c r="R71" s="91">
        <f t="shared" si="1"/>
        <v>44990</v>
      </c>
      <c r="S71" s="91">
        <f t="shared" si="2"/>
        <v>45890</v>
      </c>
    </row>
    <row r="72" spans="3:19" ht="13.5" customHeight="1">
      <c r="C72" s="87"/>
      <c r="D72" s="87"/>
      <c r="E72" s="88">
        <v>2320</v>
      </c>
      <c r="F72" s="87" t="s">
        <v>269</v>
      </c>
      <c r="G72" s="89">
        <v>6163</v>
      </c>
      <c r="H72" s="89">
        <v>6426</v>
      </c>
      <c r="I72" s="90" t="s">
        <v>272</v>
      </c>
      <c r="J72" s="91">
        <v>4</v>
      </c>
      <c r="K72" s="91">
        <v>6</v>
      </c>
      <c r="L72" s="131">
        <v>47823</v>
      </c>
      <c r="M72" s="91">
        <v>47823</v>
      </c>
      <c r="N72" s="91">
        <v>47823</v>
      </c>
      <c r="O72" s="91">
        <f t="shared" si="0"/>
        <v>49258</v>
      </c>
      <c r="P72" s="91">
        <v>4</v>
      </c>
      <c r="Q72" s="91">
        <v>6</v>
      </c>
      <c r="R72" s="91">
        <f t="shared" si="1"/>
        <v>50243</v>
      </c>
      <c r="S72" s="91">
        <f t="shared" si="2"/>
        <v>51248</v>
      </c>
    </row>
    <row r="73" spans="3:19" ht="13.5" customHeight="1">
      <c r="C73" s="87"/>
      <c r="D73" s="87"/>
      <c r="E73" s="88">
        <v>2120</v>
      </c>
      <c r="F73" s="87" t="s">
        <v>273</v>
      </c>
      <c r="G73" s="89">
        <v>6735</v>
      </c>
      <c r="H73" s="89">
        <v>6461</v>
      </c>
      <c r="I73" s="90" t="s">
        <v>274</v>
      </c>
      <c r="J73" s="91"/>
      <c r="K73" s="91"/>
      <c r="L73" s="131">
        <v>53415</v>
      </c>
      <c r="M73" s="91">
        <v>53415</v>
      </c>
      <c r="N73" s="91">
        <v>53415</v>
      </c>
      <c r="O73" s="91">
        <f t="shared" si="0"/>
        <v>55017</v>
      </c>
      <c r="P73" s="91"/>
      <c r="Q73" s="91"/>
      <c r="R73" s="91">
        <f t="shared" si="1"/>
        <v>56117</v>
      </c>
      <c r="S73" s="91">
        <f t="shared" si="2"/>
        <v>57239</v>
      </c>
    </row>
    <row r="74" spans="3:19" ht="6" customHeight="1">
      <c r="C74" s="87"/>
      <c r="D74" s="87"/>
      <c r="E74" s="88"/>
      <c r="F74" s="87"/>
      <c r="G74" s="96"/>
      <c r="H74" s="96"/>
      <c r="I74" s="90"/>
      <c r="J74" s="91"/>
      <c r="K74" s="91"/>
      <c r="L74" s="131"/>
      <c r="M74" s="91"/>
      <c r="N74" s="91"/>
      <c r="O74" s="91"/>
      <c r="P74" s="91"/>
      <c r="Q74" s="91"/>
      <c r="R74" s="91"/>
      <c r="S74" s="91"/>
    </row>
    <row r="75" spans="1:19" ht="33" customHeight="1">
      <c r="A75" s="78"/>
      <c r="B75" s="79"/>
      <c r="E75" s="97">
        <f>COUNT(E9:E73)</f>
        <v>65</v>
      </c>
      <c r="F75" s="98" t="s">
        <v>275</v>
      </c>
      <c r="G75" s="99"/>
      <c r="H75" s="100"/>
      <c r="I75" s="100"/>
      <c r="J75" s="101"/>
      <c r="K75" s="101"/>
      <c r="L75" s="132">
        <f>SUM(L9:L73)</f>
        <v>2806121</v>
      </c>
      <c r="M75" s="102">
        <f>SUM(M9:M73)</f>
        <v>2806121</v>
      </c>
      <c r="N75" s="102">
        <f>SUM(N9:N73)</f>
        <v>2806121</v>
      </c>
      <c r="O75" s="102">
        <f>SUM(O9:O73)</f>
        <v>2890305</v>
      </c>
      <c r="P75" s="101"/>
      <c r="Q75" s="101"/>
      <c r="R75" s="102">
        <f>SUM(R9:R73)</f>
        <v>2948105</v>
      </c>
      <c r="S75" s="102">
        <f>SUM(S9:S73)</f>
        <v>3007059</v>
      </c>
    </row>
    <row r="76" spans="1:19" ht="12.75">
      <c r="A76" s="78"/>
      <c r="B76" s="79"/>
      <c r="E76" s="72"/>
      <c r="J76" s="103"/>
      <c r="K76" s="103"/>
      <c r="L76" s="103"/>
      <c r="M76" s="104" t="s">
        <v>276</v>
      </c>
      <c r="N76" s="64"/>
      <c r="O76" s="64"/>
      <c r="P76" s="105"/>
      <c r="Q76" s="105"/>
      <c r="R76" s="105">
        <f>R75-M75</f>
        <v>141984</v>
      </c>
      <c r="S76" s="106">
        <f>S75-M75</f>
        <v>200938</v>
      </c>
    </row>
    <row r="77" spans="10:19" ht="12.75">
      <c r="J77" s="56"/>
      <c r="K77" s="56"/>
      <c r="L77" s="56"/>
      <c r="M77" s="108" t="s">
        <v>277</v>
      </c>
      <c r="N77" s="109"/>
      <c r="O77" s="109"/>
      <c r="P77" s="109"/>
      <c r="Q77" s="109"/>
      <c r="R77" s="110">
        <f>R76/2</f>
        <v>70992</v>
      </c>
      <c r="S77" s="111"/>
    </row>
    <row r="78" spans="10:19" ht="12.75">
      <c r="J78" s="56"/>
      <c r="K78" s="56"/>
      <c r="L78" s="56"/>
      <c r="M78" s="108"/>
      <c r="N78" s="109"/>
      <c r="O78" s="109"/>
      <c r="P78" s="109"/>
      <c r="Q78" s="109"/>
      <c r="R78" s="103"/>
      <c r="S78" s="111"/>
    </row>
    <row r="79" spans="10:19" ht="12.75">
      <c r="J79" s="56"/>
      <c r="K79" s="56"/>
      <c r="L79" s="56"/>
      <c r="M79" s="112" t="s">
        <v>278</v>
      </c>
      <c r="N79" s="113"/>
      <c r="O79" s="109"/>
      <c r="P79" s="109"/>
      <c r="Q79" s="109"/>
      <c r="R79" s="103"/>
      <c r="S79" s="111"/>
    </row>
    <row r="80" spans="10:19" ht="12.75">
      <c r="J80" s="56"/>
      <c r="K80" s="56"/>
      <c r="L80" s="56"/>
      <c r="M80" s="108" t="s">
        <v>279</v>
      </c>
      <c r="N80" s="114">
        <f>R77</f>
        <v>70992</v>
      </c>
      <c r="O80" s="109"/>
      <c r="P80" s="109"/>
      <c r="Q80" s="109"/>
      <c r="R80" s="109"/>
      <c r="S80" s="111"/>
    </row>
    <row r="81" spans="10:19" ht="15">
      <c r="J81" s="56"/>
      <c r="K81" s="56"/>
      <c r="L81" s="56"/>
      <c r="M81" s="108" t="s">
        <v>280</v>
      </c>
      <c r="N81" s="115">
        <f>S76</f>
        <v>200938</v>
      </c>
      <c r="O81" s="109"/>
      <c r="P81" s="109"/>
      <c r="Q81" s="109"/>
      <c r="R81" s="109"/>
      <c r="S81" s="111"/>
    </row>
    <row r="82" spans="10:19" ht="12.75">
      <c r="J82" s="56"/>
      <c r="K82" s="56"/>
      <c r="L82" s="56"/>
      <c r="M82" s="116"/>
      <c r="N82" s="117">
        <f>N81+N80</f>
        <v>271930</v>
      </c>
      <c r="O82" s="118"/>
      <c r="P82" s="118"/>
      <c r="Q82" s="118"/>
      <c r="R82" s="118"/>
      <c r="S82" s="119"/>
    </row>
    <row r="83" spans="10:18" ht="12.75">
      <c r="J83" s="56"/>
      <c r="K83" s="56"/>
      <c r="L83" s="56"/>
      <c r="M83" s="56"/>
      <c r="N83" s="56"/>
      <c r="O83" s="56"/>
      <c r="P83" s="56"/>
      <c r="Q83" s="56"/>
      <c r="R83" s="56"/>
    </row>
    <row r="84" spans="5:20" ht="12.75">
      <c r="E84" s="155" t="s">
        <v>289</v>
      </c>
      <c r="F84" s="156"/>
      <c r="G84" s="156"/>
      <c r="H84" s="156"/>
      <c r="I84" s="156"/>
      <c r="J84" s="156"/>
      <c r="K84" s="156"/>
      <c r="L84" s="157"/>
      <c r="M84" s="56"/>
      <c r="N84" s="153" t="s">
        <v>288</v>
      </c>
      <c r="O84" s="154"/>
      <c r="P84" s="154"/>
      <c r="Q84" s="154"/>
      <c r="R84" s="154"/>
      <c r="S84" s="154"/>
      <c r="T84" s="113"/>
    </row>
    <row r="85" spans="5:20" ht="51">
      <c r="E85" s="145" t="s">
        <v>290</v>
      </c>
      <c r="K85" s="109"/>
      <c r="L85" s="111"/>
      <c r="M85" s="56"/>
      <c r="N85" s="136" t="s">
        <v>287</v>
      </c>
      <c r="O85" s="137">
        <v>0.06</v>
      </c>
      <c r="P85" s="109"/>
      <c r="Q85" s="109"/>
      <c r="R85" s="103">
        <f>(R75*0.08)/2</f>
        <v>117924.2</v>
      </c>
      <c r="S85" s="103">
        <f>(S75*0.08)/2</f>
        <v>120282.36</v>
      </c>
      <c r="T85" s="138">
        <v>0.06</v>
      </c>
    </row>
    <row r="86" spans="5:20" ht="15">
      <c r="E86" s="145"/>
      <c r="F86" s="141">
        <v>135000</v>
      </c>
      <c r="J86" s="125">
        <v>0.05</v>
      </c>
      <c r="L86" s="146">
        <f>J86*F86</f>
        <v>6750</v>
      </c>
      <c r="N86" s="139"/>
      <c r="O86" s="125">
        <v>0.07</v>
      </c>
      <c r="R86" s="135">
        <f>(R75*0.085)/2</f>
        <v>125294.46250000001</v>
      </c>
      <c r="S86" s="135">
        <f>(S75*0.09)/2</f>
        <v>135317.655</v>
      </c>
      <c r="T86" s="138">
        <v>0.08</v>
      </c>
    </row>
    <row r="87" spans="5:20" ht="12.75">
      <c r="E87" s="145"/>
      <c r="L87" s="146"/>
      <c r="N87" s="139"/>
      <c r="R87" s="72">
        <f>R86-R85</f>
        <v>7370.262500000012</v>
      </c>
      <c r="S87" s="141">
        <f>S86-S85</f>
        <v>15035.294999999998</v>
      </c>
      <c r="T87" s="111"/>
    </row>
    <row r="88" spans="5:20" ht="12.75">
      <c r="E88" s="145" t="s">
        <v>291</v>
      </c>
      <c r="K88" s="109"/>
      <c r="L88" s="111"/>
      <c r="N88" s="139"/>
      <c r="S88" s="109"/>
      <c r="T88" s="111"/>
    </row>
    <row r="89" spans="5:20" ht="51">
      <c r="E89" s="147"/>
      <c r="F89" s="148">
        <f>F86*2</f>
        <v>270000</v>
      </c>
      <c r="G89" s="143"/>
      <c r="H89" s="143"/>
      <c r="I89" s="143"/>
      <c r="J89" s="149">
        <v>0.02</v>
      </c>
      <c r="K89" s="143"/>
      <c r="L89" s="150">
        <f>J89*F89</f>
        <v>5400</v>
      </c>
      <c r="N89" s="140" t="s">
        <v>286</v>
      </c>
      <c r="R89" s="72">
        <f>R75*0.03</f>
        <v>88443.15</v>
      </c>
      <c r="S89" s="109"/>
      <c r="T89" s="111"/>
    </row>
    <row r="90" spans="14:20" ht="12.75">
      <c r="N90" s="139"/>
      <c r="R90" s="72">
        <f>R89/2</f>
        <v>44221.575</v>
      </c>
      <c r="S90" s="141">
        <f>S75*0.03</f>
        <v>90211.76999999999</v>
      </c>
      <c r="T90" s="111"/>
    </row>
    <row r="91" spans="14:20" ht="12.75">
      <c r="N91" s="142"/>
      <c r="O91" s="143"/>
      <c r="P91" s="143"/>
      <c r="Q91" s="143"/>
      <c r="R91" s="144" t="s">
        <v>285</v>
      </c>
      <c r="S91" s="118"/>
      <c r="T91" s="119"/>
    </row>
    <row r="125" ht="12.75">
      <c r="I125" s="120"/>
    </row>
    <row r="126" ht="12.75">
      <c r="I126" s="120"/>
    </row>
    <row r="127" ht="12.75">
      <c r="I127" s="120"/>
    </row>
    <row r="128" ht="12.75">
      <c r="I128" s="120"/>
    </row>
    <row r="129" ht="12.75">
      <c r="I129" s="120"/>
    </row>
    <row r="130" ht="12.75">
      <c r="I130" s="120"/>
    </row>
    <row r="131" ht="12.75">
      <c r="I131" s="120"/>
    </row>
    <row r="132" ht="12.75">
      <c r="I132" s="120"/>
    </row>
    <row r="133" ht="12.75">
      <c r="I133" s="120"/>
    </row>
    <row r="134" ht="12.75">
      <c r="I134" s="120"/>
    </row>
    <row r="135" ht="12.75">
      <c r="I135" s="120"/>
    </row>
    <row r="136" ht="12.75">
      <c r="I136" s="120"/>
    </row>
    <row r="137" ht="12.75">
      <c r="I137" s="120"/>
    </row>
    <row r="138" ht="12.75">
      <c r="I138" s="120"/>
    </row>
    <row r="139" ht="12.75">
      <c r="I139" s="120"/>
    </row>
    <row r="140" ht="12.75">
      <c r="I140" s="120"/>
    </row>
    <row r="141" ht="12.75">
      <c r="I141" s="120"/>
    </row>
    <row r="142" ht="12.75">
      <c r="I142" s="120"/>
    </row>
    <row r="143" ht="12.75">
      <c r="I143" s="120"/>
    </row>
    <row r="144" ht="12.75">
      <c r="I144" s="120"/>
    </row>
    <row r="145" ht="12.75">
      <c r="I145" s="120"/>
    </row>
    <row r="146" ht="12.75">
      <c r="I146" s="120"/>
    </row>
    <row r="147" ht="12.75">
      <c r="I147" s="120"/>
    </row>
  </sheetData>
  <mergeCells count="3">
    <mergeCell ref="C1:R1"/>
    <mergeCell ref="N84:S84"/>
    <mergeCell ref="E84:L84"/>
  </mergeCells>
  <printOptions horizontalCentered="1"/>
  <pageMargins left="0.25" right="0.25" top="0.25" bottom="0.25" header="0.5" footer="0.5"/>
  <pageSetup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D40" sqref="D40"/>
    </sheetView>
  </sheetViews>
  <sheetFormatPr defaultColWidth="9.140625" defaultRowHeight="12.75"/>
  <cols>
    <col min="3" max="3" width="15.421875" style="0" customWidth="1"/>
    <col min="5" max="5" width="14.00390625" style="0" customWidth="1"/>
    <col min="7" max="7" width="18.28125" style="0" customWidth="1"/>
    <col min="9" max="9" width="12.28125" style="0" customWidth="1"/>
  </cols>
  <sheetData>
    <row r="1" spans="1:9" ht="15">
      <c r="A1" s="25" t="s">
        <v>172</v>
      </c>
      <c r="B1" s="26"/>
      <c r="C1" s="26"/>
      <c r="D1" s="26"/>
      <c r="E1" s="26"/>
      <c r="F1" s="26"/>
      <c r="G1" s="26"/>
      <c r="I1">
        <v>1.06</v>
      </c>
    </row>
    <row r="2" spans="1:7" ht="15">
      <c r="A2" s="25" t="s">
        <v>282</v>
      </c>
      <c r="B2" s="26"/>
      <c r="C2" s="26"/>
      <c r="D2" s="26"/>
      <c r="E2" s="26"/>
      <c r="F2" s="26"/>
      <c r="G2" s="26"/>
    </row>
    <row r="3" ht="13.5" thickBot="1">
      <c r="A3" s="1"/>
    </row>
    <row r="4" spans="1:9" ht="26.25" thickBot="1">
      <c r="A4" s="35" t="s">
        <v>0</v>
      </c>
      <c r="B4" s="160" t="s">
        <v>170</v>
      </c>
      <c r="C4" s="159"/>
      <c r="D4" s="158" t="s">
        <v>171</v>
      </c>
      <c r="E4" s="159"/>
      <c r="F4" s="158" t="s">
        <v>169</v>
      </c>
      <c r="G4" s="159"/>
      <c r="H4" s="13"/>
      <c r="I4" s="30"/>
    </row>
    <row r="5" spans="1:9" ht="12.75">
      <c r="A5" s="36" t="s">
        <v>1</v>
      </c>
      <c r="B5" s="3">
        <v>3</v>
      </c>
      <c r="C5" s="10">
        <f>'FY 13-14'!C5*'FY 14-15'!$I$1</f>
        <v>857.2220000000001</v>
      </c>
      <c r="D5" s="5">
        <v>12</v>
      </c>
      <c r="E5" s="10">
        <f>'FY 13-14'!E5*'FY 14-15'!$I$1</f>
        <v>848.6572000000001</v>
      </c>
      <c r="F5" s="5">
        <v>2</v>
      </c>
      <c r="G5" s="10">
        <f>'FY 13-14'!G5*'FY 14-15'!$I$1</f>
        <v>805.4304000000001</v>
      </c>
      <c r="H5" s="5"/>
      <c r="I5" s="15"/>
    </row>
    <row r="6" spans="1:9" ht="12.75">
      <c r="A6" s="36" t="s">
        <v>2</v>
      </c>
      <c r="B6" s="3">
        <v>4</v>
      </c>
      <c r="C6" s="6">
        <f>'FY 13-14'!C6*'FY 14-15'!$I$1</f>
        <v>1737.6792</v>
      </c>
      <c r="D6" s="5">
        <v>12</v>
      </c>
      <c r="E6" s="6">
        <f>'FY 13-14'!E6*'FY 14-15'!$I$1</f>
        <v>1720.5602000000001</v>
      </c>
      <c r="F6" s="5">
        <v>1</v>
      </c>
      <c r="G6" s="6">
        <f>'FY 13-14'!G6*'FY 14-15'!$I$1</f>
        <v>1634.1490000000001</v>
      </c>
      <c r="H6" s="5"/>
      <c r="I6" s="15"/>
    </row>
    <row r="7" spans="1:9" ht="13.5" thickBot="1">
      <c r="A7" s="36" t="s">
        <v>3</v>
      </c>
      <c r="B7" s="7">
        <v>3</v>
      </c>
      <c r="C7" s="9">
        <f>'FY 13-14'!C7*'FY 14-15'!$I$1</f>
        <v>2244.5712000000003</v>
      </c>
      <c r="D7" s="8">
        <v>22</v>
      </c>
      <c r="E7" s="9">
        <f>'FY 13-14'!E7*'FY 14-15'!$I$1</f>
        <v>2222.3006000000005</v>
      </c>
      <c r="F7" s="8">
        <v>1</v>
      </c>
      <c r="G7" s="9">
        <f>'FY 13-14'!G7*'FY 14-15'!$I$1</f>
        <v>2109.9724</v>
      </c>
      <c r="H7" s="5"/>
      <c r="I7" s="15"/>
    </row>
    <row r="8" spans="1:9" ht="12.75">
      <c r="A8" s="14"/>
      <c r="B8" s="5"/>
      <c r="C8" s="4"/>
      <c r="D8" s="5"/>
      <c r="E8" s="4"/>
      <c r="F8" s="5"/>
      <c r="G8" s="4"/>
      <c r="H8" s="5"/>
      <c r="I8" s="15"/>
    </row>
    <row r="9" spans="1:9" ht="12.75">
      <c r="A9" s="37" t="s">
        <v>4</v>
      </c>
      <c r="B9" s="5"/>
      <c r="C9" s="4">
        <f>(B5*C5)+(B6*C6)+(B7*C7)</f>
        <v>16256.0964</v>
      </c>
      <c r="D9" s="4"/>
      <c r="E9" s="4">
        <f>(D5*E5)+(D6*E6)+(D7*E7)</f>
        <v>79721.22200000001</v>
      </c>
      <c r="F9" s="4"/>
      <c r="G9" s="4">
        <f>(F5*G5)+(F6*G6)+(F7*G7)</f>
        <v>5354.9822</v>
      </c>
      <c r="H9" s="5"/>
      <c r="I9" s="15"/>
    </row>
    <row r="10" spans="1:9" ht="12.75">
      <c r="A10" s="14"/>
      <c r="B10" s="5"/>
      <c r="C10" s="5"/>
      <c r="D10" s="5"/>
      <c r="E10" s="21"/>
      <c r="F10" s="22" t="s">
        <v>5</v>
      </c>
      <c r="G10" s="23">
        <f>C9+E9+G9</f>
        <v>101332.3006</v>
      </c>
      <c r="H10" s="5"/>
      <c r="I10" s="15"/>
    </row>
    <row r="11" spans="1:9" ht="12.75">
      <c r="A11" s="38" t="s">
        <v>12</v>
      </c>
      <c r="B11" s="39"/>
      <c r="C11" s="40">
        <f>C9*12</f>
        <v>195073.1568</v>
      </c>
      <c r="D11" s="39"/>
      <c r="E11" s="40">
        <f>E9*12</f>
        <v>956654.6640000001</v>
      </c>
      <c r="F11" s="39"/>
      <c r="G11" s="40">
        <f>G9*12</f>
        <v>64259.786400000005</v>
      </c>
      <c r="H11" s="5"/>
      <c r="I11" s="15"/>
    </row>
    <row r="12" spans="1:9" ht="12.75">
      <c r="A12" s="14"/>
      <c r="B12" s="5"/>
      <c r="C12" s="5"/>
      <c r="D12" s="5"/>
      <c r="E12" s="21"/>
      <c r="F12" s="22" t="s">
        <v>6</v>
      </c>
      <c r="G12" s="23">
        <f>C11+E11+G11</f>
        <v>1215987.6072000002</v>
      </c>
      <c r="H12" s="5"/>
      <c r="I12" s="15"/>
    </row>
    <row r="13" spans="1:9" ht="12.75">
      <c r="A13" s="14"/>
      <c r="B13" s="5"/>
      <c r="C13" s="5"/>
      <c r="D13" s="5"/>
      <c r="E13" s="5"/>
      <c r="F13" s="5"/>
      <c r="G13" s="5"/>
      <c r="H13" s="5"/>
      <c r="I13" s="15"/>
    </row>
    <row r="14" spans="1:9" ht="12.75">
      <c r="A14" s="14" t="s">
        <v>7</v>
      </c>
      <c r="B14" s="5"/>
      <c r="C14" s="33">
        <v>0.17</v>
      </c>
      <c r="D14" s="34"/>
      <c r="E14" s="33">
        <v>0.13</v>
      </c>
      <c r="F14" s="34"/>
      <c r="G14" s="33">
        <v>0.11</v>
      </c>
      <c r="H14" s="5"/>
      <c r="I14" s="15"/>
    </row>
    <row r="15" spans="1:9" ht="12.75">
      <c r="A15" s="14" t="s">
        <v>8</v>
      </c>
      <c r="B15" s="5"/>
      <c r="C15" s="4">
        <f>C11*C14</f>
        <v>33162.436656000005</v>
      </c>
      <c r="D15" s="5"/>
      <c r="E15" s="4">
        <f>E11*E14</f>
        <v>124365.10632000002</v>
      </c>
      <c r="F15" s="5"/>
      <c r="G15" s="4">
        <f>G11*G14</f>
        <v>7068.576504000001</v>
      </c>
      <c r="H15" s="5"/>
      <c r="I15" s="15"/>
    </row>
    <row r="16" spans="1:9" ht="12.75">
      <c r="A16" s="14" t="s">
        <v>9</v>
      </c>
      <c r="B16" s="5"/>
      <c r="C16" s="4">
        <f>C11-C15</f>
        <v>161910.720144</v>
      </c>
      <c r="D16" s="5"/>
      <c r="E16" s="4">
        <f>E11-E15</f>
        <v>832289.5576800001</v>
      </c>
      <c r="F16" s="5"/>
      <c r="G16" s="4">
        <f>G11-G15</f>
        <v>57191.209896</v>
      </c>
      <c r="H16" s="5"/>
      <c r="I16" s="15"/>
    </row>
    <row r="17" spans="1:9" ht="12.75">
      <c r="A17" s="14"/>
      <c r="B17" s="5"/>
      <c r="C17" s="5"/>
      <c r="D17" s="5"/>
      <c r="E17" s="5"/>
      <c r="F17" s="5"/>
      <c r="G17" s="5"/>
      <c r="H17" s="5"/>
      <c r="I17" s="15"/>
    </row>
    <row r="18" spans="1:9" ht="13.5" thickBot="1">
      <c r="A18" s="14"/>
      <c r="B18" s="5"/>
      <c r="C18" s="5"/>
      <c r="D18" s="5"/>
      <c r="E18" s="18"/>
      <c r="F18" s="19" t="s">
        <v>11</v>
      </c>
      <c r="G18" s="20">
        <f>C16+E16+G16</f>
        <v>1051391.48772</v>
      </c>
      <c r="H18" s="5"/>
      <c r="I18" s="15"/>
    </row>
    <row r="19" spans="1:9" ht="13.5" thickBot="1">
      <c r="A19" s="29"/>
      <c r="B19" s="5"/>
      <c r="C19" s="5"/>
      <c r="D19" s="5"/>
      <c r="E19" s="8"/>
      <c r="F19" s="27"/>
      <c r="G19" s="28"/>
      <c r="H19" s="8"/>
      <c r="I19" s="31"/>
    </row>
    <row r="20" spans="1:9" ht="26.25" thickBot="1">
      <c r="A20" s="35" t="s">
        <v>0</v>
      </c>
      <c r="B20" s="160" t="s">
        <v>13</v>
      </c>
      <c r="C20" s="159"/>
      <c r="D20" s="158" t="s">
        <v>14</v>
      </c>
      <c r="E20" s="159"/>
      <c r="F20" s="158" t="s">
        <v>15</v>
      </c>
      <c r="G20" s="159"/>
      <c r="H20" s="158" t="s">
        <v>16</v>
      </c>
      <c r="I20" s="159"/>
    </row>
    <row r="21" spans="1:9" ht="12.75">
      <c r="A21" s="36" t="s">
        <v>1</v>
      </c>
      <c r="B21" s="3">
        <v>3</v>
      </c>
      <c r="C21" s="10">
        <f>'FY 13-14'!C21*'FY 14-15'!$I$1</f>
        <v>794.3216000000001</v>
      </c>
      <c r="D21" s="5">
        <f>12+2</f>
        <v>14</v>
      </c>
      <c r="E21" s="10">
        <f>'FY 13-14'!E21*'FY 14-15'!$I$1</f>
        <v>772.5704000000001</v>
      </c>
      <c r="F21" s="5"/>
      <c r="G21" s="10">
        <f>'FY 13-14'!G21*'FY 14-15'!$I$1</f>
        <v>655.3874</v>
      </c>
      <c r="H21" s="5"/>
      <c r="I21" s="10">
        <f>'FY 13-14'!I21*'FY 14-15'!$I$1</f>
        <v>556.1078</v>
      </c>
    </row>
    <row r="22" spans="1:9" ht="12.75">
      <c r="A22" s="36" t="s">
        <v>2</v>
      </c>
      <c r="B22" s="3">
        <v>4</v>
      </c>
      <c r="C22" s="6">
        <f>'FY 13-14'!C22*'FY 14-15'!$I$1</f>
        <v>1605.9530000000002</v>
      </c>
      <c r="D22" s="5">
        <f>12+1</f>
        <v>13</v>
      </c>
      <c r="E22" s="6">
        <f>'FY 13-14'!E22*'FY 14-15'!$I$1</f>
        <v>1562.4294</v>
      </c>
      <c r="F22" s="5"/>
      <c r="G22" s="6">
        <f>'FY 13-14'!G22*'FY 14-15'!$I$1</f>
        <v>1328.0952000000002</v>
      </c>
      <c r="H22" s="5"/>
      <c r="I22" s="6">
        <f>'FY 13-14'!I22*'FY 14-15'!$I$1</f>
        <v>1111.0602000000001</v>
      </c>
    </row>
    <row r="23" spans="1:9" ht="13.5" thickBot="1">
      <c r="A23" s="36" t="s">
        <v>3</v>
      </c>
      <c r="B23" s="7">
        <v>3</v>
      </c>
      <c r="C23" s="9">
        <f>'FY 13-14'!C23*'FY 14-15'!$I$1</f>
        <v>2078.4904</v>
      </c>
      <c r="D23" s="8">
        <f>22+1</f>
        <v>23</v>
      </c>
      <c r="E23" s="9">
        <f>'FY 13-14'!E23*'FY 14-15'!$I$1</f>
        <v>2021.9182</v>
      </c>
      <c r="F23" s="8"/>
      <c r="G23" s="9">
        <f>'FY 13-14'!G23*'FY 14-15'!$I$1</f>
        <v>1717.2636</v>
      </c>
      <c r="H23" s="8"/>
      <c r="I23" s="9">
        <f>'FY 13-14'!I23*'FY 14-15'!$I$1</f>
        <v>1447.9070000000002</v>
      </c>
    </row>
    <row r="24" spans="1:9" ht="12.75">
      <c r="A24" s="14"/>
      <c r="C24" s="2"/>
      <c r="E24" s="2"/>
      <c r="G24" s="2"/>
      <c r="H24" s="5"/>
      <c r="I24" s="15"/>
    </row>
    <row r="25" spans="1:9" ht="12.75">
      <c r="A25" s="37" t="s">
        <v>4</v>
      </c>
      <c r="C25" s="2">
        <f>(B21*C21)+(B22*C22)+(B23*C23)</f>
        <v>15042.248000000001</v>
      </c>
      <c r="D25" s="2"/>
      <c r="E25" s="2">
        <f>(D21*E21)+(D22*E22)+(D23*E23)</f>
        <v>77631.6864</v>
      </c>
      <c r="F25" s="2"/>
      <c r="G25" s="2">
        <f>(F21*G21)+(F22*G22)+(F23*G23)</f>
        <v>0</v>
      </c>
      <c r="H25" s="5"/>
      <c r="I25" s="6">
        <f>(H21*I21)+(H22*I22)+(H23*I23)</f>
        <v>0</v>
      </c>
    </row>
    <row r="26" spans="1:9" ht="12.75">
      <c r="A26" s="14"/>
      <c r="E26" s="21"/>
      <c r="F26" s="22" t="s">
        <v>5</v>
      </c>
      <c r="G26" s="23">
        <f>C25+E25+G25+I25</f>
        <v>92673.93440000001</v>
      </c>
      <c r="H26" s="5"/>
      <c r="I26" s="15"/>
    </row>
    <row r="27" spans="1:9" ht="12.75">
      <c r="A27" s="38" t="s">
        <v>12</v>
      </c>
      <c r="B27" s="11"/>
      <c r="C27" s="12">
        <f>C25*12</f>
        <v>180506.97600000002</v>
      </c>
      <c r="D27" s="11"/>
      <c r="E27" s="12">
        <f>E25*12</f>
        <v>931580.2368000001</v>
      </c>
      <c r="F27" s="11"/>
      <c r="G27" s="12">
        <f>G25*12</f>
        <v>0</v>
      </c>
      <c r="H27" s="40"/>
      <c r="I27" s="42">
        <f>I25*12</f>
        <v>0</v>
      </c>
    </row>
    <row r="28" spans="1:9" ht="12.75">
      <c r="A28" s="14"/>
      <c r="E28" s="21"/>
      <c r="F28" s="22" t="s">
        <v>6</v>
      </c>
      <c r="G28" s="23">
        <f>C27+E27+G27+I27</f>
        <v>1112087.2128</v>
      </c>
      <c r="H28" s="5"/>
      <c r="I28" s="15"/>
    </row>
    <row r="29" spans="1:9" ht="12.75">
      <c r="A29" s="14"/>
      <c r="H29" s="5"/>
      <c r="I29" s="15"/>
    </row>
    <row r="30" spans="1:9" ht="12.75">
      <c r="A30" s="14" t="s">
        <v>7</v>
      </c>
      <c r="B30" s="5"/>
      <c r="C30" s="33">
        <v>0.2125</v>
      </c>
      <c r="D30" s="34"/>
      <c r="E30" s="33">
        <v>0.1925</v>
      </c>
      <c r="F30" s="34"/>
      <c r="G30" s="33">
        <v>0.1525</v>
      </c>
      <c r="H30" s="34"/>
      <c r="I30" s="41">
        <v>0.11</v>
      </c>
    </row>
    <row r="31" spans="1:9" ht="12.75">
      <c r="A31" s="14" t="s">
        <v>8</v>
      </c>
      <c r="B31" s="5"/>
      <c r="C31" s="4">
        <f>C27*C30</f>
        <v>38357.7324</v>
      </c>
      <c r="D31" s="5"/>
      <c r="E31" s="4">
        <f>E27*E30</f>
        <v>179329.19558400003</v>
      </c>
      <c r="F31" s="5"/>
      <c r="G31" s="4">
        <f>G27*G30</f>
        <v>0</v>
      </c>
      <c r="H31" s="5"/>
      <c r="I31" s="6">
        <f>I27*I30</f>
        <v>0</v>
      </c>
    </row>
    <row r="32" spans="1:9" ht="12.75">
      <c r="A32" s="14" t="s">
        <v>9</v>
      </c>
      <c r="B32" s="5"/>
      <c r="C32" s="4">
        <f>C27-C31</f>
        <v>142149.24360000002</v>
      </c>
      <c r="D32" s="5"/>
      <c r="E32" s="4">
        <f>E27-E31</f>
        <v>752251.041216</v>
      </c>
      <c r="F32" s="5"/>
      <c r="G32" s="4">
        <f>G27-G31</f>
        <v>0</v>
      </c>
      <c r="H32" s="5"/>
      <c r="I32" s="6">
        <f>I27-I31</f>
        <v>0</v>
      </c>
    </row>
    <row r="33" spans="1:9" ht="12.75">
      <c r="A33" s="14"/>
      <c r="B33" s="5"/>
      <c r="C33" s="5"/>
      <c r="D33" s="5"/>
      <c r="E33" s="5"/>
      <c r="F33" s="5"/>
      <c r="G33" s="5"/>
      <c r="H33" s="5"/>
      <c r="I33" s="15"/>
    </row>
    <row r="34" spans="1:9" ht="13.5" thickBot="1">
      <c r="A34" s="14"/>
      <c r="B34" s="5"/>
      <c r="C34" s="5"/>
      <c r="D34" s="5"/>
      <c r="E34" s="18"/>
      <c r="F34" s="19" t="s">
        <v>11</v>
      </c>
      <c r="G34" s="20">
        <f>C32+E32+G32+I32</f>
        <v>894400.284816</v>
      </c>
      <c r="H34" s="5"/>
      <c r="I34" s="15"/>
    </row>
    <row r="35" spans="1:9" ht="13.5" thickBot="1">
      <c r="A35" s="14"/>
      <c r="B35" s="5"/>
      <c r="C35" s="5"/>
      <c r="D35" s="5"/>
      <c r="E35" s="8"/>
      <c r="F35" s="27"/>
      <c r="G35" s="28"/>
      <c r="H35" s="5"/>
      <c r="I35" s="15"/>
    </row>
    <row r="36" spans="1:9" ht="13.5" thickBot="1">
      <c r="A36" s="16" t="s">
        <v>10</v>
      </c>
      <c r="B36" s="17"/>
      <c r="C36" s="17"/>
      <c r="D36" s="17"/>
      <c r="E36" s="8"/>
      <c r="F36" s="8"/>
      <c r="G36" s="32">
        <f>G18-G34</f>
        <v>156991.20290400006</v>
      </c>
      <c r="H36" s="8"/>
      <c r="I36" s="31"/>
    </row>
  </sheetData>
  <mergeCells count="7">
    <mergeCell ref="H20:I20"/>
    <mergeCell ref="B4:C4"/>
    <mergeCell ref="D4:E4"/>
    <mergeCell ref="F4:G4"/>
    <mergeCell ref="B20:C20"/>
    <mergeCell ref="D20:E20"/>
    <mergeCell ref="F20:G20"/>
  </mergeCells>
  <printOptions horizontalCentered="1"/>
  <pageMargins left="0.25" right="0.2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17.140625" style="0" customWidth="1"/>
    <col min="3" max="3" width="14.140625" style="0" customWidth="1"/>
    <col min="5" max="5" width="14.7109375" style="0" customWidth="1"/>
    <col min="7" max="7" width="15.00390625" style="0" customWidth="1"/>
    <col min="8" max="8" width="9.28125" style="0" customWidth="1"/>
    <col min="9" max="9" width="12.8515625" style="0" customWidth="1"/>
  </cols>
  <sheetData>
    <row r="1" spans="1:7" ht="15">
      <c r="A1" s="25" t="s">
        <v>172</v>
      </c>
      <c r="B1" s="26"/>
      <c r="C1" s="26"/>
      <c r="D1" s="26"/>
      <c r="E1" s="26"/>
      <c r="F1" s="26"/>
      <c r="G1" s="26"/>
    </row>
    <row r="2" spans="1:7" ht="15">
      <c r="A2" s="25" t="s">
        <v>283</v>
      </c>
      <c r="B2" s="26"/>
      <c r="C2" s="26"/>
      <c r="D2" s="26"/>
      <c r="E2" s="26"/>
      <c r="F2" s="26"/>
      <c r="G2" s="26"/>
    </row>
    <row r="3" ht="13.5" thickBot="1">
      <c r="A3" s="1"/>
    </row>
    <row r="4" spans="1:9" ht="28.5" customHeight="1" thickBot="1">
      <c r="A4" s="35" t="s">
        <v>0</v>
      </c>
      <c r="B4" s="160" t="s">
        <v>170</v>
      </c>
      <c r="C4" s="159"/>
      <c r="D4" s="158" t="s">
        <v>171</v>
      </c>
      <c r="E4" s="159"/>
      <c r="F4" s="158" t="s">
        <v>169</v>
      </c>
      <c r="G4" s="159"/>
      <c r="H4" s="13"/>
      <c r="I4" s="30"/>
    </row>
    <row r="5" spans="1:9" ht="12.75">
      <c r="A5" s="36" t="s">
        <v>1</v>
      </c>
      <c r="B5" s="3">
        <v>3</v>
      </c>
      <c r="C5" s="10">
        <v>808.7</v>
      </c>
      <c r="D5" s="5">
        <v>12</v>
      </c>
      <c r="E5" s="10">
        <v>800.62</v>
      </c>
      <c r="F5" s="5">
        <v>2</v>
      </c>
      <c r="G5" s="10">
        <v>759.84</v>
      </c>
      <c r="H5" s="5"/>
      <c r="I5" s="15"/>
    </row>
    <row r="6" spans="1:9" ht="12.75">
      <c r="A6" s="36" t="s">
        <v>2</v>
      </c>
      <c r="B6" s="3">
        <v>4</v>
      </c>
      <c r="C6" s="6">
        <v>1639.32</v>
      </c>
      <c r="D6" s="5">
        <v>12</v>
      </c>
      <c r="E6" s="6">
        <v>1623.17</v>
      </c>
      <c r="F6" s="5">
        <v>1</v>
      </c>
      <c r="G6" s="6">
        <v>1541.65</v>
      </c>
      <c r="H6" s="5"/>
      <c r="I6" s="15"/>
    </row>
    <row r="7" spans="1:9" ht="13.5" thickBot="1">
      <c r="A7" s="36" t="s">
        <v>3</v>
      </c>
      <c r="B7" s="7">
        <v>3</v>
      </c>
      <c r="C7" s="9">
        <v>2117.52</v>
      </c>
      <c r="D7" s="8">
        <v>22</v>
      </c>
      <c r="E7" s="9">
        <v>2096.51</v>
      </c>
      <c r="F7" s="8">
        <v>1</v>
      </c>
      <c r="G7" s="9">
        <v>1990.54</v>
      </c>
      <c r="H7" s="5"/>
      <c r="I7" s="15"/>
    </row>
    <row r="8" spans="1:9" ht="12.75">
      <c r="A8" s="14"/>
      <c r="B8" s="5"/>
      <c r="C8" s="4"/>
      <c r="D8" s="5"/>
      <c r="E8" s="4"/>
      <c r="F8" s="5"/>
      <c r="G8" s="4"/>
      <c r="H8" s="5"/>
      <c r="I8" s="15"/>
    </row>
    <row r="9" spans="1:9" ht="12.75">
      <c r="A9" s="37" t="s">
        <v>4</v>
      </c>
      <c r="B9" s="5"/>
      <c r="C9" s="4">
        <f>(B5*C5)+(B6*C6)+(B7*C7)</f>
        <v>15335.94</v>
      </c>
      <c r="D9" s="4"/>
      <c r="E9" s="4">
        <f>(D5*E5)+(D6*E6)+(D7*E7)</f>
        <v>75208.70000000001</v>
      </c>
      <c r="F9" s="4"/>
      <c r="G9" s="4">
        <f>(F5*G5)+(F6*G6)+(F7*G7)</f>
        <v>5051.87</v>
      </c>
      <c r="H9" s="5"/>
      <c r="I9" s="15"/>
    </row>
    <row r="10" spans="1:9" ht="12.75">
      <c r="A10" s="14"/>
      <c r="B10" s="5"/>
      <c r="C10" s="5"/>
      <c r="D10" s="5"/>
      <c r="E10" s="21"/>
      <c r="F10" s="22" t="s">
        <v>5</v>
      </c>
      <c r="G10" s="23">
        <f>C9+E9+G9</f>
        <v>95596.51000000001</v>
      </c>
      <c r="H10" s="5"/>
      <c r="I10" s="15"/>
    </row>
    <row r="11" spans="1:9" ht="12.75">
      <c r="A11" s="38" t="s">
        <v>12</v>
      </c>
      <c r="B11" s="39"/>
      <c r="C11" s="40">
        <f>C9*12</f>
        <v>184031.28</v>
      </c>
      <c r="D11" s="39"/>
      <c r="E11" s="40">
        <f>E9*12</f>
        <v>902504.4000000001</v>
      </c>
      <c r="F11" s="39"/>
      <c r="G11" s="40">
        <f>G9*12</f>
        <v>60622.44</v>
      </c>
      <c r="H11" s="5"/>
      <c r="I11" s="15"/>
    </row>
    <row r="12" spans="1:9" ht="12.75">
      <c r="A12" s="14"/>
      <c r="B12" s="5"/>
      <c r="C12" s="5"/>
      <c r="D12" s="5"/>
      <c r="E12" s="21"/>
      <c r="F12" s="22" t="s">
        <v>6</v>
      </c>
      <c r="G12" s="23">
        <f>C11+E11+G11</f>
        <v>1147158.12</v>
      </c>
      <c r="H12" s="5"/>
      <c r="I12" s="15"/>
    </row>
    <row r="13" spans="1:9" ht="12.75">
      <c r="A13" s="14"/>
      <c r="B13" s="5"/>
      <c r="C13" s="5"/>
      <c r="D13" s="5"/>
      <c r="E13" s="5"/>
      <c r="F13" s="5"/>
      <c r="G13" s="5"/>
      <c r="H13" s="5"/>
      <c r="I13" s="15"/>
    </row>
    <row r="14" spans="1:9" ht="12.75">
      <c r="A14" s="14" t="s">
        <v>7</v>
      </c>
      <c r="B14" s="5"/>
      <c r="C14" s="33">
        <v>0.17</v>
      </c>
      <c r="D14" s="34"/>
      <c r="E14" s="33">
        <v>0.13</v>
      </c>
      <c r="F14" s="34"/>
      <c r="G14" s="33">
        <v>0.11</v>
      </c>
      <c r="H14" s="5"/>
      <c r="I14" s="15"/>
    </row>
    <row r="15" spans="1:9" ht="12.75">
      <c r="A15" s="14" t="s">
        <v>8</v>
      </c>
      <c r="B15" s="5"/>
      <c r="C15" s="4">
        <f>C11*C14</f>
        <v>31285.317600000002</v>
      </c>
      <c r="D15" s="5"/>
      <c r="E15" s="4">
        <f>E11*E14</f>
        <v>117325.57200000003</v>
      </c>
      <c r="F15" s="5"/>
      <c r="G15" s="4">
        <f>G11*G14</f>
        <v>6668.468400000001</v>
      </c>
      <c r="H15" s="5"/>
      <c r="I15" s="15"/>
    </row>
    <row r="16" spans="1:9" ht="12.75">
      <c r="A16" s="14" t="s">
        <v>9</v>
      </c>
      <c r="B16" s="5"/>
      <c r="C16" s="4">
        <f>C11-C15</f>
        <v>152745.9624</v>
      </c>
      <c r="D16" s="5"/>
      <c r="E16" s="4">
        <f>E11-E15</f>
        <v>785178.8280000001</v>
      </c>
      <c r="F16" s="5"/>
      <c r="G16" s="4">
        <f>G11-G15</f>
        <v>53953.971600000004</v>
      </c>
      <c r="H16" s="5"/>
      <c r="I16" s="15"/>
    </row>
    <row r="17" spans="1:11" ht="12.75">
      <c r="A17" s="14"/>
      <c r="B17" s="5"/>
      <c r="C17" s="5"/>
      <c r="D17" s="5"/>
      <c r="E17" s="5"/>
      <c r="F17" s="5"/>
      <c r="G17" s="5"/>
      <c r="H17" s="5"/>
      <c r="I17" s="15"/>
      <c r="K17" t="s">
        <v>174</v>
      </c>
    </row>
    <row r="18" spans="1:9" ht="13.5" thickBot="1">
      <c r="A18" s="14"/>
      <c r="B18" s="5"/>
      <c r="C18" s="5"/>
      <c r="D18" s="5"/>
      <c r="E18" s="18"/>
      <c r="F18" s="19" t="s">
        <v>11</v>
      </c>
      <c r="G18" s="20">
        <f>C16+E16+G16</f>
        <v>991878.7620000001</v>
      </c>
      <c r="H18" s="5"/>
      <c r="I18" s="15"/>
    </row>
    <row r="19" spans="1:18" ht="13.5" thickBot="1">
      <c r="A19" s="29"/>
      <c r="B19" s="5"/>
      <c r="C19" s="5"/>
      <c r="D19" s="5"/>
      <c r="E19" s="8"/>
      <c r="F19" s="27"/>
      <c r="G19" s="28"/>
      <c r="H19" s="8"/>
      <c r="I19" s="31"/>
      <c r="K19" s="53" t="s">
        <v>4</v>
      </c>
      <c r="L19" s="53" t="s">
        <v>173</v>
      </c>
      <c r="M19" s="53" t="s">
        <v>4</v>
      </c>
      <c r="N19" s="53" t="s">
        <v>173</v>
      </c>
      <c r="O19" s="53" t="s">
        <v>4</v>
      </c>
      <c r="P19" s="53" t="s">
        <v>173</v>
      </c>
      <c r="Q19" s="53" t="s">
        <v>4</v>
      </c>
      <c r="R19" s="53" t="s">
        <v>173</v>
      </c>
    </row>
    <row r="20" spans="1:18" ht="26.25" customHeight="1" thickBot="1">
      <c r="A20" s="35" t="s">
        <v>0</v>
      </c>
      <c r="B20" s="160" t="s">
        <v>13</v>
      </c>
      <c r="C20" s="159"/>
      <c r="D20" s="158" t="s">
        <v>14</v>
      </c>
      <c r="E20" s="159"/>
      <c r="F20" s="158" t="s">
        <v>15</v>
      </c>
      <c r="G20" s="159"/>
      <c r="H20" s="158" t="s">
        <v>16</v>
      </c>
      <c r="I20" s="159"/>
      <c r="K20" s="160" t="s">
        <v>13</v>
      </c>
      <c r="L20" s="159"/>
      <c r="M20" s="158" t="s">
        <v>14</v>
      </c>
      <c r="N20" s="159"/>
      <c r="O20" s="158" t="s">
        <v>15</v>
      </c>
      <c r="P20" s="159"/>
      <c r="Q20" s="158" t="s">
        <v>175</v>
      </c>
      <c r="R20" s="159"/>
    </row>
    <row r="21" spans="1:18" ht="12.75">
      <c r="A21" s="36" t="s">
        <v>1</v>
      </c>
      <c r="B21" s="3">
        <v>3</v>
      </c>
      <c r="C21" s="10">
        <f>744.99+4.37</f>
        <v>749.36</v>
      </c>
      <c r="D21" s="5">
        <f>12+2</f>
        <v>14</v>
      </c>
      <c r="E21" s="10">
        <f>724.47+4.37</f>
        <v>728.84</v>
      </c>
      <c r="F21" s="5"/>
      <c r="G21" s="10">
        <f>613.92+4.37</f>
        <v>618.29</v>
      </c>
      <c r="H21" s="5"/>
      <c r="I21" s="10">
        <f>520.26+4.37</f>
        <v>524.63</v>
      </c>
      <c r="K21" s="2">
        <f>C21*$C$30</f>
        <v>159.239</v>
      </c>
      <c r="L21" s="2">
        <f>(K21*12)/52</f>
        <v>36.747461538461536</v>
      </c>
      <c r="M21" s="2">
        <f>E21*$E$30</f>
        <v>140.3017</v>
      </c>
      <c r="N21" s="2">
        <f>(M21*12)/52</f>
        <v>32.377315384615386</v>
      </c>
      <c r="O21" s="2">
        <f>G21*$G$30</f>
        <v>94.28922499999999</v>
      </c>
      <c r="P21" s="2">
        <f>(O21*12)/52</f>
        <v>21.75905192307692</v>
      </c>
      <c r="Q21" s="2">
        <f>I21*$I$30</f>
        <v>47.216699999999996</v>
      </c>
      <c r="R21" s="2">
        <f>(Q21*12)/52</f>
        <v>10.896161538461538</v>
      </c>
    </row>
    <row r="22" spans="1:18" ht="12.75">
      <c r="A22" s="36" t="s">
        <v>2</v>
      </c>
      <c r="B22" s="3">
        <v>4</v>
      </c>
      <c r="C22" s="6">
        <f>1507.4+7.65</f>
        <v>1515.0500000000002</v>
      </c>
      <c r="D22" s="5">
        <f>12+1</f>
        <v>13</v>
      </c>
      <c r="E22" s="6">
        <f>1466.34+7.65</f>
        <v>1473.99</v>
      </c>
      <c r="F22" s="5"/>
      <c r="G22" s="6">
        <f>1245.27+7.65</f>
        <v>1252.92</v>
      </c>
      <c r="H22" s="5"/>
      <c r="I22" s="6">
        <f>1040.52+7.65</f>
        <v>1048.17</v>
      </c>
      <c r="K22" s="2">
        <f>C22*$C$30</f>
        <v>321.948125</v>
      </c>
      <c r="L22" s="2">
        <f>(K22*12)/52</f>
        <v>74.29572115384616</v>
      </c>
      <c r="M22" s="2">
        <f>E22*$E$30</f>
        <v>283.74307500000003</v>
      </c>
      <c r="N22" s="2">
        <f>(M22*12)/52</f>
        <v>65.47917115384615</v>
      </c>
      <c r="O22" s="2">
        <f>G22*$G$30</f>
        <v>191.0703</v>
      </c>
      <c r="P22" s="2">
        <f>(O22*12)/52</f>
        <v>44.093146153846156</v>
      </c>
      <c r="Q22" s="2">
        <f>I22*$I$30</f>
        <v>94.3353</v>
      </c>
      <c r="R22" s="2">
        <f>(Q22*12)/52</f>
        <v>21.769684615384616</v>
      </c>
    </row>
    <row r="23" spans="1:18" ht="13.5" thickBot="1">
      <c r="A23" s="36" t="s">
        <v>3</v>
      </c>
      <c r="B23" s="7">
        <v>3</v>
      </c>
      <c r="C23" s="9">
        <f>1948.6+12.24</f>
        <v>1960.84</v>
      </c>
      <c r="D23" s="8">
        <f>22+1</f>
        <v>23</v>
      </c>
      <c r="E23" s="9">
        <f>1895.23+12.24</f>
        <v>1907.47</v>
      </c>
      <c r="F23" s="8"/>
      <c r="G23" s="9">
        <f>1607.82+12.24</f>
        <v>1620.06</v>
      </c>
      <c r="H23" s="8"/>
      <c r="I23" s="9">
        <f>1353.71+12.24</f>
        <v>1365.95</v>
      </c>
      <c r="K23" s="2">
        <f>C23*$C$30</f>
        <v>416.6785</v>
      </c>
      <c r="L23" s="2">
        <f>(K23*12)/52</f>
        <v>96.15657692307693</v>
      </c>
      <c r="M23" s="2">
        <f>E23*$E$30</f>
        <v>367.187975</v>
      </c>
      <c r="N23" s="2">
        <f>(M23*12)/52</f>
        <v>84.73568653846154</v>
      </c>
      <c r="O23" s="2">
        <f>G23*$G$30</f>
        <v>247.05915</v>
      </c>
      <c r="P23" s="2">
        <f>(O23*12)/52</f>
        <v>57.01364999999999</v>
      </c>
      <c r="Q23" s="2">
        <f>I23*$I$30</f>
        <v>122.9355</v>
      </c>
      <c r="R23" s="2">
        <f>(Q23*12)/52</f>
        <v>28.36973076923077</v>
      </c>
    </row>
    <row r="24" spans="1:9" ht="12.75">
      <c r="A24" s="14"/>
      <c r="C24" s="2"/>
      <c r="E24" s="2"/>
      <c r="G24" s="2"/>
      <c r="H24" s="5"/>
      <c r="I24" s="15"/>
    </row>
    <row r="25" spans="1:9" ht="12.75">
      <c r="A25" s="37" t="s">
        <v>4</v>
      </c>
      <c r="C25" s="2">
        <f>(B21*C21)+(B22*C22)+(B23*C23)</f>
        <v>14190.8</v>
      </c>
      <c r="D25" s="2"/>
      <c r="E25" s="2">
        <f>(D21*E21)+(D22*E22)+(D23*E23)</f>
        <v>73237.44</v>
      </c>
      <c r="F25" s="2"/>
      <c r="G25" s="2">
        <f>(F21*G21)+(F22*G22)+(F23*G23)</f>
        <v>0</v>
      </c>
      <c r="H25" s="5"/>
      <c r="I25" s="6">
        <f>(H21*I21)+(H22*I22)+(H23*I23)</f>
        <v>0</v>
      </c>
    </row>
    <row r="26" spans="1:9" ht="12.75">
      <c r="A26" s="14"/>
      <c r="E26" s="21"/>
      <c r="F26" s="22" t="s">
        <v>5</v>
      </c>
      <c r="G26" s="23">
        <f>C25+E25+G25+I25</f>
        <v>87428.24</v>
      </c>
      <c r="H26" s="5"/>
      <c r="I26" s="15"/>
    </row>
    <row r="27" spans="1:9" ht="12.75">
      <c r="A27" s="38" t="s">
        <v>12</v>
      </c>
      <c r="B27" s="11"/>
      <c r="C27" s="12">
        <f>C25*12</f>
        <v>170289.59999999998</v>
      </c>
      <c r="D27" s="11"/>
      <c r="E27" s="12">
        <f>E25*12</f>
        <v>878849.28</v>
      </c>
      <c r="F27" s="11"/>
      <c r="G27" s="12">
        <f>G25*12</f>
        <v>0</v>
      </c>
      <c r="H27" s="40"/>
      <c r="I27" s="42">
        <f>I25*12</f>
        <v>0</v>
      </c>
    </row>
    <row r="28" spans="1:9" ht="12.75">
      <c r="A28" s="14"/>
      <c r="E28" s="21"/>
      <c r="F28" s="22" t="s">
        <v>6</v>
      </c>
      <c r="G28" s="23">
        <f>C27+E27+G27+I27</f>
        <v>1049138.88</v>
      </c>
      <c r="H28" s="5"/>
      <c r="I28" s="15"/>
    </row>
    <row r="29" spans="1:9" ht="12.75">
      <c r="A29" s="14"/>
      <c r="H29" s="5"/>
      <c r="I29" s="15"/>
    </row>
    <row r="30" spans="1:9" ht="12.75">
      <c r="A30" s="14" t="s">
        <v>7</v>
      </c>
      <c r="B30" s="5"/>
      <c r="C30" s="33">
        <v>0.2125</v>
      </c>
      <c r="D30" s="34"/>
      <c r="E30" s="33">
        <v>0.1925</v>
      </c>
      <c r="F30" s="34"/>
      <c r="G30" s="33">
        <v>0.1525</v>
      </c>
      <c r="H30" s="34"/>
      <c r="I30" s="41">
        <v>0.09</v>
      </c>
    </row>
    <row r="31" spans="1:9" ht="12.75">
      <c r="A31" s="14" t="s">
        <v>8</v>
      </c>
      <c r="B31" s="5"/>
      <c r="C31" s="4">
        <f>C27*C30</f>
        <v>36186.53999999999</v>
      </c>
      <c r="D31" s="5"/>
      <c r="E31" s="4">
        <f>E27*E30</f>
        <v>169178.48640000002</v>
      </c>
      <c r="F31" s="5"/>
      <c r="G31" s="4">
        <f>G27*G30</f>
        <v>0</v>
      </c>
      <c r="H31" s="5"/>
      <c r="I31" s="6">
        <f>I27*I30</f>
        <v>0</v>
      </c>
    </row>
    <row r="32" spans="1:9" ht="12.75">
      <c r="A32" s="14" t="s">
        <v>9</v>
      </c>
      <c r="B32" s="5"/>
      <c r="C32" s="4">
        <f>C27-C31</f>
        <v>134103.06</v>
      </c>
      <c r="D32" s="5"/>
      <c r="E32" s="4">
        <f>E27-E31</f>
        <v>709670.7936</v>
      </c>
      <c r="F32" s="5"/>
      <c r="G32" s="4">
        <f>G27-G31</f>
        <v>0</v>
      </c>
      <c r="H32" s="5"/>
      <c r="I32" s="6">
        <f>I27-I31</f>
        <v>0</v>
      </c>
    </row>
    <row r="33" spans="1:9" ht="12.75">
      <c r="A33" s="14"/>
      <c r="B33" s="5"/>
      <c r="C33" s="5"/>
      <c r="D33" s="5"/>
      <c r="E33" s="5"/>
      <c r="F33" s="5"/>
      <c r="G33" s="5"/>
      <c r="H33" s="5"/>
      <c r="I33" s="15"/>
    </row>
    <row r="34" spans="1:9" ht="13.5" thickBot="1">
      <c r="A34" s="14"/>
      <c r="B34" s="5"/>
      <c r="C34" s="5"/>
      <c r="D34" s="5"/>
      <c r="E34" s="18"/>
      <c r="F34" s="19" t="s">
        <v>11</v>
      </c>
      <c r="G34" s="20">
        <f>C32+E32+G32+I32</f>
        <v>843773.8536</v>
      </c>
      <c r="H34" s="5"/>
      <c r="I34" s="15"/>
    </row>
    <row r="35" spans="1:9" ht="13.5" thickBot="1">
      <c r="A35" s="14"/>
      <c r="B35" s="5"/>
      <c r="C35" s="5"/>
      <c r="D35" s="5"/>
      <c r="E35" s="8"/>
      <c r="F35" s="27"/>
      <c r="G35" s="28"/>
      <c r="H35" s="5"/>
      <c r="I35" s="15"/>
    </row>
    <row r="36" spans="1:9" ht="13.5" thickBot="1">
      <c r="A36" s="16" t="s">
        <v>176</v>
      </c>
      <c r="B36" s="17"/>
      <c r="C36" s="17"/>
      <c r="D36" s="17"/>
      <c r="E36" s="17"/>
      <c r="F36" s="17"/>
      <c r="G36" s="32">
        <f>(G18-G34)/2</f>
        <v>74052.45420000004</v>
      </c>
      <c r="H36" s="5"/>
      <c r="I36" s="15"/>
    </row>
    <row r="37" spans="1:9" ht="13.5" thickBot="1">
      <c r="A37" s="29" t="s">
        <v>177</v>
      </c>
      <c r="B37" s="8"/>
      <c r="C37" s="54">
        <f>G36+'FY 14-15'!G36</f>
        <v>231043.6571040001</v>
      </c>
      <c r="D37" s="8"/>
      <c r="E37" s="8"/>
      <c r="F37" s="8"/>
      <c r="G37" s="54"/>
      <c r="H37" s="8"/>
      <c r="I37" s="31"/>
    </row>
    <row r="38" ht="12.75">
      <c r="A38" s="1" t="s">
        <v>19</v>
      </c>
    </row>
    <row r="39" ht="12.75">
      <c r="A39" s="24" t="s">
        <v>17</v>
      </c>
    </row>
    <row r="40" ht="12.75">
      <c r="A40" s="24" t="s">
        <v>18</v>
      </c>
    </row>
    <row r="41" ht="12.75">
      <c r="A41" s="43" t="s">
        <v>20</v>
      </c>
    </row>
  </sheetData>
  <sheetProtection/>
  <mergeCells count="11">
    <mergeCell ref="K20:L20"/>
    <mergeCell ref="M20:N20"/>
    <mergeCell ref="O20:P20"/>
    <mergeCell ref="Q20:R20"/>
    <mergeCell ref="H20:I20"/>
    <mergeCell ref="B4:C4"/>
    <mergeCell ref="D4:E4"/>
    <mergeCell ref="F4:G4"/>
    <mergeCell ref="B20:C20"/>
    <mergeCell ref="D20:E20"/>
    <mergeCell ref="F20:G20"/>
  </mergeCells>
  <printOptions/>
  <pageMargins left="0.75" right="0.75" top="0.26" bottom="0.52" header="0.17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C1">
      <selection activeCell="B1" sqref="B1:B16384"/>
    </sheetView>
  </sheetViews>
  <sheetFormatPr defaultColWidth="9.140625" defaultRowHeight="12.75"/>
  <cols>
    <col min="1" max="1" width="5.7109375" style="46" bestFit="1" customWidth="1"/>
    <col min="2" max="2" width="14.57421875" style="46" bestFit="1" customWidth="1"/>
    <col min="3" max="3" width="11.7109375" style="46" bestFit="1" customWidth="1"/>
    <col min="4" max="4" width="3.28125" style="46" bestFit="1" customWidth="1"/>
    <col min="5" max="5" width="9.140625" style="46" customWidth="1"/>
    <col min="6" max="6" width="9.00390625" style="46" bestFit="1" customWidth="1"/>
    <col min="7" max="7" width="2.7109375" style="46" bestFit="1" customWidth="1"/>
    <col min="8" max="8" width="5.8515625" style="46" bestFit="1" customWidth="1"/>
    <col min="9" max="9" width="7.28125" style="46" bestFit="1" customWidth="1"/>
    <col min="10" max="10" width="27.140625" style="46" bestFit="1" customWidth="1"/>
    <col min="11" max="11" width="9.57421875" style="46" bestFit="1" customWidth="1"/>
    <col min="12" max="12" width="6.8515625" style="46" bestFit="1" customWidth="1"/>
    <col min="13" max="13" width="20.7109375" style="46" bestFit="1" customWidth="1"/>
    <col min="14" max="16384" width="9.140625" style="46" customWidth="1"/>
  </cols>
  <sheetData>
    <row r="1" spans="1:14" ht="12.75">
      <c r="A1" s="44" t="s">
        <v>21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  <c r="H1" s="45" t="s">
        <v>28</v>
      </c>
      <c r="I1" s="44" t="s">
        <v>29</v>
      </c>
      <c r="J1" s="45" t="s">
        <v>30</v>
      </c>
      <c r="K1" s="45" t="s">
        <v>31</v>
      </c>
      <c r="L1" s="44" t="s">
        <v>32</v>
      </c>
      <c r="M1" s="45" t="s">
        <v>33</v>
      </c>
      <c r="N1" s="45" t="s">
        <v>34</v>
      </c>
    </row>
    <row r="2" spans="1:14" ht="12.75">
      <c r="A2" s="47">
        <v>13220</v>
      </c>
      <c r="B2" s="48" t="s">
        <v>35</v>
      </c>
      <c r="C2" s="48" t="s">
        <v>36</v>
      </c>
      <c r="D2" s="48" t="s">
        <v>27</v>
      </c>
      <c r="E2" s="49">
        <v>19997</v>
      </c>
      <c r="F2" s="49">
        <v>37228</v>
      </c>
      <c r="G2" s="48" t="s">
        <v>37</v>
      </c>
      <c r="H2" s="48" t="s">
        <v>38</v>
      </c>
      <c r="I2" s="47">
        <v>8340</v>
      </c>
      <c r="J2" s="48" t="s">
        <v>39</v>
      </c>
      <c r="K2" s="48" t="s">
        <v>40</v>
      </c>
      <c r="L2" s="47">
        <v>8343</v>
      </c>
      <c r="M2" s="48" t="s">
        <v>41</v>
      </c>
      <c r="N2" s="48" t="s">
        <v>40</v>
      </c>
    </row>
    <row r="3" spans="1:14" ht="12.75">
      <c r="A3" s="47">
        <v>6913</v>
      </c>
      <c r="B3" s="48" t="s">
        <v>42</v>
      </c>
      <c r="C3" s="48" t="s">
        <v>36</v>
      </c>
      <c r="D3" s="48" t="s">
        <v>43</v>
      </c>
      <c r="E3" s="49">
        <v>22899</v>
      </c>
      <c r="F3" s="49">
        <v>36318</v>
      </c>
      <c r="G3" s="48" t="s">
        <v>37</v>
      </c>
      <c r="H3" s="48" t="s">
        <v>38</v>
      </c>
      <c r="I3" s="47">
        <v>8340</v>
      </c>
      <c r="J3" s="48" t="s">
        <v>39</v>
      </c>
      <c r="K3" s="48" t="s">
        <v>40</v>
      </c>
      <c r="L3" s="47">
        <v>8343</v>
      </c>
      <c r="M3" s="48" t="s">
        <v>41</v>
      </c>
      <c r="N3" s="48" t="s">
        <v>40</v>
      </c>
    </row>
    <row r="4" spans="1:14" ht="12.75">
      <c r="A4" s="47">
        <v>6096</v>
      </c>
      <c r="B4" s="48" t="s">
        <v>44</v>
      </c>
      <c r="C4" s="48" t="s">
        <v>45</v>
      </c>
      <c r="D4" s="48" t="s">
        <v>46</v>
      </c>
      <c r="E4" s="49">
        <v>18045</v>
      </c>
      <c r="F4" s="49">
        <v>36066</v>
      </c>
      <c r="G4" s="48" t="s">
        <v>47</v>
      </c>
      <c r="H4" s="48" t="s">
        <v>38</v>
      </c>
      <c r="I4" s="47">
        <v>8340</v>
      </c>
      <c r="J4" s="48" t="s">
        <v>39</v>
      </c>
      <c r="K4" s="48" t="s">
        <v>40</v>
      </c>
      <c r="L4" s="47">
        <v>8343</v>
      </c>
      <c r="M4" s="48" t="s">
        <v>41</v>
      </c>
      <c r="N4" s="48" t="s">
        <v>40</v>
      </c>
    </row>
    <row r="5" spans="1:14" ht="12.75">
      <c r="A5" s="47"/>
      <c r="B5" s="48"/>
      <c r="C5" s="48"/>
      <c r="D5" s="48"/>
      <c r="E5" s="49"/>
      <c r="F5" s="49"/>
      <c r="G5" s="48"/>
      <c r="H5" s="48"/>
      <c r="I5" s="47"/>
      <c r="J5" s="48"/>
      <c r="K5" s="48"/>
      <c r="L5" s="47"/>
      <c r="M5" s="48"/>
      <c r="N5" s="48"/>
    </row>
    <row r="6" spans="1:14" ht="12.75">
      <c r="A6" s="47"/>
      <c r="B6" s="48"/>
      <c r="C6" s="48"/>
      <c r="D6" s="48"/>
      <c r="E6" s="49"/>
      <c r="F6" s="49"/>
      <c r="G6" s="48"/>
      <c r="H6" s="48"/>
      <c r="I6" s="47"/>
      <c r="J6" s="48"/>
      <c r="K6" s="48"/>
      <c r="L6" s="47"/>
      <c r="M6" s="48"/>
      <c r="N6" s="48"/>
    </row>
    <row r="7" spans="1:14" ht="12.75">
      <c r="A7" s="47">
        <v>6099</v>
      </c>
      <c r="B7" s="48" t="s">
        <v>48</v>
      </c>
      <c r="C7" s="48" t="s">
        <v>49</v>
      </c>
      <c r="E7" s="49">
        <v>20128</v>
      </c>
      <c r="F7" s="49">
        <v>31794</v>
      </c>
      <c r="G7" s="48" t="s">
        <v>37</v>
      </c>
      <c r="H7" s="48" t="s">
        <v>38</v>
      </c>
      <c r="I7" s="47">
        <v>8341</v>
      </c>
      <c r="J7" s="48" t="s">
        <v>50</v>
      </c>
      <c r="K7" s="48" t="s">
        <v>51</v>
      </c>
      <c r="L7" s="47">
        <v>8344</v>
      </c>
      <c r="M7" s="48" t="s">
        <v>52</v>
      </c>
      <c r="N7" s="48" t="s">
        <v>51</v>
      </c>
    </row>
    <row r="8" spans="1:14" ht="12.75">
      <c r="A8" s="47">
        <v>6395</v>
      </c>
      <c r="B8" s="48" t="s">
        <v>53</v>
      </c>
      <c r="C8" s="48" t="s">
        <v>36</v>
      </c>
      <c r="D8" s="48" t="s">
        <v>54</v>
      </c>
      <c r="E8" s="49">
        <v>24188</v>
      </c>
      <c r="F8" s="49">
        <v>32454</v>
      </c>
      <c r="G8" s="48" t="s">
        <v>37</v>
      </c>
      <c r="H8" s="48" t="s">
        <v>55</v>
      </c>
      <c r="I8" s="47">
        <v>8341</v>
      </c>
      <c r="J8" s="48" t="s">
        <v>50</v>
      </c>
      <c r="K8" s="48" t="s">
        <v>51</v>
      </c>
      <c r="L8" s="47">
        <v>8344</v>
      </c>
      <c r="M8" s="48" t="s">
        <v>52</v>
      </c>
      <c r="N8" s="48" t="s">
        <v>51</v>
      </c>
    </row>
    <row r="9" spans="1:14" ht="12.75">
      <c r="A9" s="47">
        <v>6491</v>
      </c>
      <c r="B9" s="48" t="s">
        <v>56</v>
      </c>
      <c r="C9" s="48" t="s">
        <v>57</v>
      </c>
      <c r="E9" s="49">
        <v>22554</v>
      </c>
      <c r="F9" s="49">
        <v>31992</v>
      </c>
      <c r="G9" s="48" t="s">
        <v>37</v>
      </c>
      <c r="H9" s="48" t="s">
        <v>38</v>
      </c>
      <c r="I9" s="47">
        <v>8341</v>
      </c>
      <c r="J9" s="48" t="s">
        <v>50</v>
      </c>
      <c r="K9" s="48" t="s">
        <v>51</v>
      </c>
      <c r="L9" s="47">
        <v>8344</v>
      </c>
      <c r="M9" s="48" t="s">
        <v>52</v>
      </c>
      <c r="N9" s="48" t="s">
        <v>51</v>
      </c>
    </row>
    <row r="10" spans="1:14" ht="12.75">
      <c r="A10" s="47">
        <v>6229</v>
      </c>
      <c r="B10" s="48" t="s">
        <v>58</v>
      </c>
      <c r="C10" s="48" t="s">
        <v>59</v>
      </c>
      <c r="D10" s="48" t="s">
        <v>27</v>
      </c>
      <c r="E10" s="49">
        <v>14258</v>
      </c>
      <c r="F10" s="49">
        <v>36179</v>
      </c>
      <c r="G10" s="48" t="s">
        <v>37</v>
      </c>
      <c r="H10" s="48" t="s">
        <v>38</v>
      </c>
      <c r="I10" s="47">
        <v>8341</v>
      </c>
      <c r="J10" s="48" t="s">
        <v>50</v>
      </c>
      <c r="K10" s="48" t="s">
        <v>51</v>
      </c>
      <c r="L10" s="47">
        <v>8344</v>
      </c>
      <c r="M10" s="48" t="s">
        <v>52</v>
      </c>
      <c r="N10" s="48" t="s">
        <v>51</v>
      </c>
    </row>
    <row r="11" spans="1:14" ht="12.75">
      <c r="A11" s="47"/>
      <c r="B11" s="48"/>
      <c r="C11" s="48"/>
      <c r="D11" s="48"/>
      <c r="E11" s="49"/>
      <c r="F11" s="49"/>
      <c r="G11" s="48"/>
      <c r="H11" s="48"/>
      <c r="I11" s="47"/>
      <c r="J11" s="48"/>
      <c r="K11" s="48"/>
      <c r="L11" s="47"/>
      <c r="M11" s="48"/>
      <c r="N11" s="48"/>
    </row>
    <row r="12" spans="1:14" ht="12.75">
      <c r="A12" s="47"/>
      <c r="B12" s="48"/>
      <c r="C12" s="48"/>
      <c r="D12" s="48"/>
      <c r="E12" s="49"/>
      <c r="F12" s="49"/>
      <c r="G12" s="48"/>
      <c r="H12" s="48"/>
      <c r="I12" s="47"/>
      <c r="J12" s="48"/>
      <c r="K12" s="48"/>
      <c r="L12" s="47"/>
      <c r="M12" s="48"/>
      <c r="N12" s="48"/>
    </row>
    <row r="13" spans="1:14" ht="12.75">
      <c r="A13" s="47">
        <v>6485</v>
      </c>
      <c r="B13" s="48" t="s">
        <v>60</v>
      </c>
      <c r="C13" s="48" t="s">
        <v>61</v>
      </c>
      <c r="E13" s="49">
        <v>20238</v>
      </c>
      <c r="F13" s="49">
        <v>31257</v>
      </c>
      <c r="G13" s="48" t="s">
        <v>37</v>
      </c>
      <c r="H13" s="48" t="s">
        <v>38</v>
      </c>
      <c r="I13" s="47">
        <v>8342</v>
      </c>
      <c r="J13" s="48" t="s">
        <v>62</v>
      </c>
      <c r="K13" s="48" t="s">
        <v>63</v>
      </c>
      <c r="L13" s="47">
        <v>8345</v>
      </c>
      <c r="M13" s="48" t="s">
        <v>64</v>
      </c>
      <c r="N13" s="48" t="s">
        <v>63</v>
      </c>
    </row>
    <row r="14" spans="1:14" ht="12.75">
      <c r="A14" s="47">
        <v>29912</v>
      </c>
      <c r="B14" s="48" t="s">
        <v>65</v>
      </c>
      <c r="C14" s="48" t="s">
        <v>66</v>
      </c>
      <c r="D14" s="48" t="s">
        <v>47</v>
      </c>
      <c r="E14" s="49">
        <v>23366</v>
      </c>
      <c r="F14" s="49">
        <v>40539</v>
      </c>
      <c r="G14" s="48" t="s">
        <v>37</v>
      </c>
      <c r="H14" s="48" t="s">
        <v>38</v>
      </c>
      <c r="I14" s="47">
        <v>8342</v>
      </c>
      <c r="J14" s="48" t="s">
        <v>62</v>
      </c>
      <c r="K14" s="48" t="s">
        <v>63</v>
      </c>
      <c r="L14" s="47">
        <v>8345</v>
      </c>
      <c r="M14" s="48" t="s">
        <v>64</v>
      </c>
      <c r="N14" s="48" t="s">
        <v>63</v>
      </c>
    </row>
    <row r="15" spans="1:14" ht="12.75">
      <c r="A15" s="50">
        <v>6055</v>
      </c>
      <c r="B15" s="48" t="s">
        <v>67</v>
      </c>
      <c r="C15" s="48" t="s">
        <v>68</v>
      </c>
      <c r="D15" s="48" t="s">
        <v>69</v>
      </c>
      <c r="E15" s="49">
        <v>24497</v>
      </c>
      <c r="F15" s="49">
        <v>35919</v>
      </c>
      <c r="G15" s="48" t="s">
        <v>37</v>
      </c>
      <c r="H15" s="48" t="s">
        <v>38</v>
      </c>
      <c r="I15" s="47">
        <v>8342</v>
      </c>
      <c r="J15" s="48" t="s">
        <v>62</v>
      </c>
      <c r="K15" s="48" t="s">
        <v>63</v>
      </c>
      <c r="L15" s="47">
        <v>8345</v>
      </c>
      <c r="M15" s="48" t="s">
        <v>64</v>
      </c>
      <c r="N15" s="48" t="s">
        <v>63</v>
      </c>
    </row>
    <row r="16" spans="1:14" ht="12.75">
      <c r="A16" s="50"/>
      <c r="B16" s="48"/>
      <c r="C16" s="48"/>
      <c r="D16" s="48"/>
      <c r="E16" s="49"/>
      <c r="F16" s="49"/>
      <c r="G16" s="48"/>
      <c r="H16" s="48"/>
      <c r="I16" s="47"/>
      <c r="J16" s="48"/>
      <c r="K16" s="48"/>
      <c r="L16" s="47"/>
      <c r="M16" s="48"/>
      <c r="N16" s="48"/>
    </row>
    <row r="17" spans="1:14" ht="12.75">
      <c r="A17" s="50"/>
      <c r="B17" s="48"/>
      <c r="C17" s="48"/>
      <c r="D17" s="48"/>
      <c r="E17" s="49"/>
      <c r="F17" s="49"/>
      <c r="G17" s="48"/>
      <c r="H17" s="48"/>
      <c r="I17" s="47"/>
      <c r="J17" s="48"/>
      <c r="K17" s="48"/>
      <c r="L17" s="47"/>
      <c r="M17" s="48"/>
      <c r="N17" s="48"/>
    </row>
    <row r="18" spans="1:14" ht="12.75">
      <c r="A18" s="47">
        <v>6092</v>
      </c>
      <c r="B18" s="48" t="s">
        <v>70</v>
      </c>
      <c r="C18" s="48" t="s">
        <v>71</v>
      </c>
      <c r="D18" s="48" t="s">
        <v>72</v>
      </c>
      <c r="E18" s="49">
        <v>17284</v>
      </c>
      <c r="F18" s="49">
        <v>35912</v>
      </c>
      <c r="G18" s="48" t="s">
        <v>37</v>
      </c>
      <c r="H18" s="48" t="s">
        <v>38</v>
      </c>
      <c r="I18" s="47">
        <v>8337</v>
      </c>
      <c r="J18" s="48" t="s">
        <v>73</v>
      </c>
      <c r="K18" s="48" t="s">
        <v>40</v>
      </c>
      <c r="L18" s="47">
        <v>8343</v>
      </c>
      <c r="M18" s="48" t="s">
        <v>41</v>
      </c>
      <c r="N18" s="48" t="s">
        <v>40</v>
      </c>
    </row>
    <row r="19" spans="1:14" ht="12.75">
      <c r="A19" s="47">
        <v>22706</v>
      </c>
      <c r="B19" s="48" t="s">
        <v>74</v>
      </c>
      <c r="C19" s="48" t="s">
        <v>75</v>
      </c>
      <c r="E19" s="49">
        <v>22527</v>
      </c>
      <c r="F19" s="49">
        <v>39503</v>
      </c>
      <c r="G19" s="48" t="s">
        <v>37</v>
      </c>
      <c r="H19" s="48" t="s">
        <v>38</v>
      </c>
      <c r="I19" s="47">
        <v>8334</v>
      </c>
      <c r="J19" s="48" t="s">
        <v>73</v>
      </c>
      <c r="K19" s="48" t="s">
        <v>40</v>
      </c>
      <c r="L19" s="47">
        <v>8343</v>
      </c>
      <c r="M19" s="48" t="s">
        <v>41</v>
      </c>
      <c r="N19" s="48" t="s">
        <v>40</v>
      </c>
    </row>
    <row r="20" spans="1:14" ht="12.75">
      <c r="A20" s="47">
        <v>15733</v>
      </c>
      <c r="B20" s="48" t="s">
        <v>76</v>
      </c>
      <c r="C20" s="48" t="s">
        <v>66</v>
      </c>
      <c r="E20" s="49">
        <v>19837</v>
      </c>
      <c r="F20" s="49">
        <v>38166</v>
      </c>
      <c r="G20" s="48" t="s">
        <v>37</v>
      </c>
      <c r="H20" s="48" t="s">
        <v>38</v>
      </c>
      <c r="I20" s="47">
        <v>8337</v>
      </c>
      <c r="J20" s="48" t="s">
        <v>73</v>
      </c>
      <c r="K20" s="48" t="s">
        <v>40</v>
      </c>
      <c r="L20" s="47">
        <v>8343</v>
      </c>
      <c r="M20" s="48" t="s">
        <v>41</v>
      </c>
      <c r="N20" s="48" t="s">
        <v>40</v>
      </c>
    </row>
    <row r="21" spans="1:14" ht="12.75">
      <c r="A21" s="47">
        <v>6594</v>
      </c>
      <c r="B21" s="48" t="s">
        <v>77</v>
      </c>
      <c r="C21" s="48" t="s">
        <v>78</v>
      </c>
      <c r="E21" s="49">
        <v>23945</v>
      </c>
      <c r="F21" s="49">
        <v>31999</v>
      </c>
      <c r="G21" s="48" t="s">
        <v>37</v>
      </c>
      <c r="H21" s="48" t="s">
        <v>38</v>
      </c>
      <c r="I21" s="47">
        <v>8337</v>
      </c>
      <c r="J21" s="48" t="s">
        <v>73</v>
      </c>
      <c r="K21" s="48" t="s">
        <v>40</v>
      </c>
      <c r="L21" s="47">
        <v>8343</v>
      </c>
      <c r="M21" s="48" t="s">
        <v>41</v>
      </c>
      <c r="N21" s="48" t="s">
        <v>40</v>
      </c>
    </row>
    <row r="22" spans="1:14" ht="12.75">
      <c r="A22" s="47">
        <v>6665</v>
      </c>
      <c r="B22" s="48" t="s">
        <v>79</v>
      </c>
      <c r="C22" s="48" t="s">
        <v>80</v>
      </c>
      <c r="E22" s="49">
        <v>21738</v>
      </c>
      <c r="F22" s="49">
        <v>35947</v>
      </c>
      <c r="G22" s="48" t="s">
        <v>37</v>
      </c>
      <c r="H22" s="48" t="s">
        <v>38</v>
      </c>
      <c r="I22" s="47">
        <v>8337</v>
      </c>
      <c r="J22" s="48" t="s">
        <v>73</v>
      </c>
      <c r="K22" s="48" t="s">
        <v>40</v>
      </c>
      <c r="L22" s="47">
        <v>8343</v>
      </c>
      <c r="M22" s="48" t="s">
        <v>41</v>
      </c>
      <c r="N22" s="48" t="s">
        <v>40</v>
      </c>
    </row>
    <row r="23" spans="1:14" ht="12.75">
      <c r="A23" s="47">
        <v>6433</v>
      </c>
      <c r="B23" s="48" t="s">
        <v>81</v>
      </c>
      <c r="C23" s="48" t="s">
        <v>82</v>
      </c>
      <c r="E23" s="49">
        <v>26329</v>
      </c>
      <c r="F23" s="49">
        <v>35933</v>
      </c>
      <c r="G23" s="48" t="s">
        <v>37</v>
      </c>
      <c r="H23" s="48" t="s">
        <v>38</v>
      </c>
      <c r="I23" s="47">
        <v>8337</v>
      </c>
      <c r="J23" s="48" t="s">
        <v>73</v>
      </c>
      <c r="K23" s="48" t="s">
        <v>40</v>
      </c>
      <c r="L23" s="47">
        <v>8343</v>
      </c>
      <c r="M23" s="48" t="s">
        <v>41</v>
      </c>
      <c r="N23" s="48" t="s">
        <v>40</v>
      </c>
    </row>
    <row r="24" spans="1:14" ht="12.75">
      <c r="A24" s="47">
        <v>6053</v>
      </c>
      <c r="B24" s="48" t="s">
        <v>83</v>
      </c>
      <c r="C24" s="48" t="s">
        <v>84</v>
      </c>
      <c r="E24" s="49">
        <v>21926</v>
      </c>
      <c r="F24" s="49">
        <v>35996</v>
      </c>
      <c r="G24" s="48" t="s">
        <v>37</v>
      </c>
      <c r="H24" s="48" t="s">
        <v>38</v>
      </c>
      <c r="I24" s="47">
        <v>8337</v>
      </c>
      <c r="J24" s="48" t="s">
        <v>73</v>
      </c>
      <c r="K24" s="48" t="s">
        <v>40</v>
      </c>
      <c r="L24" s="47">
        <v>8343</v>
      </c>
      <c r="M24" s="48" t="s">
        <v>41</v>
      </c>
      <c r="N24" s="48" t="s">
        <v>40</v>
      </c>
    </row>
    <row r="25" spans="1:14" ht="12.75">
      <c r="A25" s="47">
        <v>6613</v>
      </c>
      <c r="B25" s="48" t="s">
        <v>85</v>
      </c>
      <c r="C25" s="48" t="s">
        <v>86</v>
      </c>
      <c r="D25" s="48" t="s">
        <v>54</v>
      </c>
      <c r="E25" s="49">
        <v>23850</v>
      </c>
      <c r="F25" s="49">
        <v>35311</v>
      </c>
      <c r="G25" s="48" t="s">
        <v>37</v>
      </c>
      <c r="H25" s="48" t="s">
        <v>38</v>
      </c>
      <c r="I25" s="47">
        <v>8337</v>
      </c>
      <c r="J25" s="48" t="s">
        <v>73</v>
      </c>
      <c r="K25" s="48" t="s">
        <v>40</v>
      </c>
      <c r="L25" s="47">
        <v>8343</v>
      </c>
      <c r="M25" s="48" t="s">
        <v>41</v>
      </c>
      <c r="N25" s="48" t="s">
        <v>40</v>
      </c>
    </row>
    <row r="26" spans="1:14" ht="12.75">
      <c r="A26" s="47">
        <v>6384</v>
      </c>
      <c r="B26" s="48" t="s">
        <v>87</v>
      </c>
      <c r="C26" s="48" t="s">
        <v>80</v>
      </c>
      <c r="D26" s="48" t="s">
        <v>88</v>
      </c>
      <c r="E26" s="49">
        <v>18715</v>
      </c>
      <c r="F26" s="49">
        <v>35709</v>
      </c>
      <c r="G26" s="48" t="s">
        <v>37</v>
      </c>
      <c r="H26" s="48" t="s">
        <v>38</v>
      </c>
      <c r="I26" s="47">
        <v>8337</v>
      </c>
      <c r="J26" s="48" t="s">
        <v>73</v>
      </c>
      <c r="K26" s="48" t="s">
        <v>40</v>
      </c>
      <c r="L26" s="47">
        <v>8343</v>
      </c>
      <c r="M26" s="48" t="s">
        <v>41</v>
      </c>
      <c r="N26" s="48" t="s">
        <v>40</v>
      </c>
    </row>
    <row r="27" spans="1:14" ht="12.75">
      <c r="A27" s="47">
        <v>26029</v>
      </c>
      <c r="B27" s="48" t="s">
        <v>89</v>
      </c>
      <c r="C27" s="48" t="s">
        <v>90</v>
      </c>
      <c r="D27" s="48" t="s">
        <v>91</v>
      </c>
      <c r="E27" s="49">
        <v>23569</v>
      </c>
      <c r="F27" s="49">
        <v>39693</v>
      </c>
      <c r="G27" s="48" t="s">
        <v>37</v>
      </c>
      <c r="H27" s="48" t="s">
        <v>38</v>
      </c>
      <c r="I27" s="47">
        <v>8337</v>
      </c>
      <c r="J27" s="48" t="s">
        <v>73</v>
      </c>
      <c r="K27" s="48" t="s">
        <v>40</v>
      </c>
      <c r="L27" s="47">
        <v>8343</v>
      </c>
      <c r="M27" s="48" t="s">
        <v>41</v>
      </c>
      <c r="N27" s="48" t="s">
        <v>40</v>
      </c>
    </row>
    <row r="28" spans="1:14" ht="12.75">
      <c r="A28" s="47">
        <v>6328</v>
      </c>
      <c r="B28" s="48" t="s">
        <v>92</v>
      </c>
      <c r="C28" s="48" t="s">
        <v>93</v>
      </c>
      <c r="E28" s="49">
        <v>19488</v>
      </c>
      <c r="F28" s="49">
        <v>27311</v>
      </c>
      <c r="G28" s="48" t="s">
        <v>37</v>
      </c>
      <c r="H28" s="48" t="s">
        <v>38</v>
      </c>
      <c r="I28" s="47">
        <v>8337</v>
      </c>
      <c r="J28" s="48" t="s">
        <v>73</v>
      </c>
      <c r="K28" s="48" t="s">
        <v>40</v>
      </c>
      <c r="L28" s="47">
        <v>8343</v>
      </c>
      <c r="M28" s="48" t="s">
        <v>41</v>
      </c>
      <c r="N28" s="48" t="s">
        <v>40</v>
      </c>
    </row>
    <row r="29" spans="1:14" ht="12.75">
      <c r="A29" s="47">
        <v>27825</v>
      </c>
      <c r="B29" s="48" t="s">
        <v>94</v>
      </c>
      <c r="C29" s="48" t="s">
        <v>66</v>
      </c>
      <c r="D29" s="48" t="s">
        <v>91</v>
      </c>
      <c r="E29" s="49">
        <v>28928</v>
      </c>
      <c r="F29" s="49">
        <v>40049</v>
      </c>
      <c r="G29" s="48" t="s">
        <v>37</v>
      </c>
      <c r="H29" s="48" t="s">
        <v>38</v>
      </c>
      <c r="I29" s="47">
        <v>8334</v>
      </c>
      <c r="J29" s="48" t="s">
        <v>73</v>
      </c>
      <c r="K29" s="48" t="s">
        <v>40</v>
      </c>
      <c r="L29" s="47">
        <v>8344</v>
      </c>
      <c r="M29" s="48" t="s">
        <v>52</v>
      </c>
      <c r="N29" s="48" t="s">
        <v>51</v>
      </c>
    </row>
    <row r="30" spans="1:14" ht="12.75">
      <c r="A30" s="47"/>
      <c r="B30" s="48"/>
      <c r="C30" s="48"/>
      <c r="D30" s="48"/>
      <c r="E30" s="49"/>
      <c r="F30" s="49"/>
      <c r="G30" s="48"/>
      <c r="H30" s="48"/>
      <c r="I30" s="47"/>
      <c r="J30" s="48"/>
      <c r="K30" s="48"/>
      <c r="L30" s="47"/>
      <c r="M30" s="48"/>
      <c r="N30" s="48"/>
    </row>
    <row r="31" spans="1:14" ht="12.75">
      <c r="A31" s="47"/>
      <c r="B31" s="48"/>
      <c r="C31" s="48"/>
      <c r="D31" s="48"/>
      <c r="E31" s="49"/>
      <c r="F31" s="49"/>
      <c r="G31" s="48"/>
      <c r="H31" s="48"/>
      <c r="I31" s="47"/>
      <c r="J31" s="48"/>
      <c r="K31" s="48"/>
      <c r="L31" s="47"/>
      <c r="M31" s="48"/>
      <c r="N31" s="48"/>
    </row>
    <row r="32" spans="1:14" ht="12.75">
      <c r="A32" s="47">
        <v>6735</v>
      </c>
      <c r="B32" s="48" t="s">
        <v>95</v>
      </c>
      <c r="C32" s="48" t="s">
        <v>96</v>
      </c>
      <c r="D32" s="48" t="s">
        <v>27</v>
      </c>
      <c r="E32" s="49">
        <v>21016</v>
      </c>
      <c r="F32" s="49">
        <v>35731</v>
      </c>
      <c r="G32" s="48" t="s">
        <v>37</v>
      </c>
      <c r="H32" s="48" t="s">
        <v>38</v>
      </c>
      <c r="I32" s="47">
        <v>8335</v>
      </c>
      <c r="J32" s="48" t="s">
        <v>97</v>
      </c>
      <c r="K32" s="48" t="s">
        <v>51</v>
      </c>
      <c r="L32" s="47">
        <v>8344</v>
      </c>
      <c r="M32" s="48" t="s">
        <v>52</v>
      </c>
      <c r="N32" s="48" t="s">
        <v>51</v>
      </c>
    </row>
    <row r="33" spans="1:14" ht="12.75">
      <c r="A33" s="47">
        <v>6317</v>
      </c>
      <c r="B33" s="48" t="s">
        <v>98</v>
      </c>
      <c r="C33" s="48" t="s">
        <v>99</v>
      </c>
      <c r="D33" s="48" t="s">
        <v>43</v>
      </c>
      <c r="E33" s="49">
        <v>15948</v>
      </c>
      <c r="F33" s="49">
        <v>26479</v>
      </c>
      <c r="G33" s="48" t="s">
        <v>37</v>
      </c>
      <c r="H33" s="48" t="s">
        <v>38</v>
      </c>
      <c r="I33" s="47">
        <v>8338</v>
      </c>
      <c r="J33" s="48" t="s">
        <v>97</v>
      </c>
      <c r="K33" s="48" t="s">
        <v>51</v>
      </c>
      <c r="L33" s="47">
        <v>8344</v>
      </c>
      <c r="M33" s="48" t="s">
        <v>52</v>
      </c>
      <c r="N33" s="48" t="s">
        <v>51</v>
      </c>
    </row>
    <row r="34" spans="1:14" ht="12.75">
      <c r="A34" s="47">
        <v>6197</v>
      </c>
      <c r="B34" s="48" t="s">
        <v>100</v>
      </c>
      <c r="C34" s="48" t="s">
        <v>36</v>
      </c>
      <c r="E34" s="49">
        <v>22040</v>
      </c>
      <c r="F34" s="49">
        <v>31229</v>
      </c>
      <c r="G34" s="48" t="s">
        <v>37</v>
      </c>
      <c r="H34" s="48" t="s">
        <v>38</v>
      </c>
      <c r="I34" s="47">
        <v>8338</v>
      </c>
      <c r="J34" s="48" t="s">
        <v>97</v>
      </c>
      <c r="K34" s="48" t="s">
        <v>51</v>
      </c>
      <c r="L34" s="47">
        <v>8344</v>
      </c>
      <c r="M34" s="48" t="s">
        <v>52</v>
      </c>
      <c r="N34" s="48" t="s">
        <v>51</v>
      </c>
    </row>
    <row r="35" spans="1:14" ht="12.75">
      <c r="A35" s="47">
        <v>6410</v>
      </c>
      <c r="B35" s="48" t="s">
        <v>101</v>
      </c>
      <c r="C35" s="48" t="s">
        <v>102</v>
      </c>
      <c r="E35" s="49">
        <v>22369</v>
      </c>
      <c r="F35" s="49">
        <v>35934</v>
      </c>
      <c r="G35" s="48" t="s">
        <v>37</v>
      </c>
      <c r="H35" s="48" t="s">
        <v>38</v>
      </c>
      <c r="I35" s="47">
        <v>8338</v>
      </c>
      <c r="J35" s="48" t="s">
        <v>97</v>
      </c>
      <c r="K35" s="48" t="s">
        <v>51</v>
      </c>
      <c r="L35" s="47">
        <v>8344</v>
      </c>
      <c r="M35" s="48" t="s">
        <v>52</v>
      </c>
      <c r="N35" s="48" t="s">
        <v>51</v>
      </c>
    </row>
    <row r="36" spans="1:14" ht="12.75">
      <c r="A36" s="47">
        <v>6739</v>
      </c>
      <c r="B36" s="48" t="s">
        <v>103</v>
      </c>
      <c r="C36" s="48" t="s">
        <v>104</v>
      </c>
      <c r="E36" s="49">
        <v>20971</v>
      </c>
      <c r="F36" s="49">
        <v>35912</v>
      </c>
      <c r="G36" s="48" t="s">
        <v>47</v>
      </c>
      <c r="H36" s="48" t="s">
        <v>38</v>
      </c>
      <c r="I36" s="47">
        <v>8335</v>
      </c>
      <c r="J36" s="48" t="s">
        <v>97</v>
      </c>
      <c r="K36" s="48" t="s">
        <v>51</v>
      </c>
      <c r="L36" s="47">
        <v>8344</v>
      </c>
      <c r="M36" s="48" t="s">
        <v>52</v>
      </c>
      <c r="N36" s="48" t="s">
        <v>51</v>
      </c>
    </row>
    <row r="37" spans="1:14" ht="12.75">
      <c r="A37" s="47">
        <v>6206</v>
      </c>
      <c r="B37" s="48" t="s">
        <v>105</v>
      </c>
      <c r="C37" s="48" t="s">
        <v>106</v>
      </c>
      <c r="D37" s="48" t="s">
        <v>107</v>
      </c>
      <c r="E37" s="49">
        <v>22721</v>
      </c>
      <c r="F37" s="49">
        <v>35380</v>
      </c>
      <c r="G37" s="48" t="s">
        <v>37</v>
      </c>
      <c r="H37" s="48" t="s">
        <v>55</v>
      </c>
      <c r="I37" s="47">
        <v>8338</v>
      </c>
      <c r="J37" s="48" t="s">
        <v>97</v>
      </c>
      <c r="K37" s="48" t="s">
        <v>51</v>
      </c>
      <c r="L37" s="47">
        <v>8344</v>
      </c>
      <c r="M37" s="48" t="s">
        <v>52</v>
      </c>
      <c r="N37" s="48" t="s">
        <v>51</v>
      </c>
    </row>
    <row r="38" spans="1:14" ht="12.75">
      <c r="A38" s="47">
        <v>6350</v>
      </c>
      <c r="B38" s="48" t="s">
        <v>108</v>
      </c>
      <c r="C38" s="48" t="s">
        <v>109</v>
      </c>
      <c r="D38" s="48" t="s">
        <v>69</v>
      </c>
      <c r="E38" s="49">
        <v>23224</v>
      </c>
      <c r="F38" s="49">
        <v>35086</v>
      </c>
      <c r="G38" s="48" t="s">
        <v>37</v>
      </c>
      <c r="H38" s="48" t="s">
        <v>38</v>
      </c>
      <c r="I38" s="47">
        <v>8335</v>
      </c>
      <c r="J38" s="48" t="s">
        <v>97</v>
      </c>
      <c r="K38" s="48" t="s">
        <v>51</v>
      </c>
      <c r="L38" s="47">
        <v>8344</v>
      </c>
      <c r="M38" s="48" t="s">
        <v>52</v>
      </c>
      <c r="N38" s="48" t="s">
        <v>51</v>
      </c>
    </row>
    <row r="39" spans="1:14" ht="12.75">
      <c r="A39" s="47">
        <v>22167</v>
      </c>
      <c r="B39" s="48" t="s">
        <v>110</v>
      </c>
      <c r="C39" s="48" t="s">
        <v>111</v>
      </c>
      <c r="E39" s="49">
        <v>27993</v>
      </c>
      <c r="F39" s="49">
        <v>39006</v>
      </c>
      <c r="G39" s="48" t="s">
        <v>47</v>
      </c>
      <c r="H39" s="48" t="s">
        <v>38</v>
      </c>
      <c r="I39" s="47">
        <v>8335</v>
      </c>
      <c r="J39" s="48" t="s">
        <v>97</v>
      </c>
      <c r="K39" s="48" t="s">
        <v>51</v>
      </c>
      <c r="L39" s="47">
        <v>8344</v>
      </c>
      <c r="M39" s="48" t="s">
        <v>52</v>
      </c>
      <c r="N39" s="48" t="s">
        <v>51</v>
      </c>
    </row>
    <row r="40" spans="1:14" ht="12.75">
      <c r="A40" s="47">
        <v>28102</v>
      </c>
      <c r="B40" s="48" t="s">
        <v>110</v>
      </c>
      <c r="C40" s="48" t="s">
        <v>112</v>
      </c>
      <c r="E40" s="49">
        <v>19766</v>
      </c>
      <c r="F40" s="49">
        <v>40119</v>
      </c>
      <c r="G40" s="48" t="s">
        <v>37</v>
      </c>
      <c r="H40" s="48" t="s">
        <v>55</v>
      </c>
      <c r="I40" s="47">
        <v>8335</v>
      </c>
      <c r="J40" s="48" t="s">
        <v>97</v>
      </c>
      <c r="K40" s="48" t="s">
        <v>51</v>
      </c>
      <c r="L40" s="47">
        <v>8344</v>
      </c>
      <c r="M40" s="48" t="s">
        <v>52</v>
      </c>
      <c r="N40" s="48" t="s">
        <v>51</v>
      </c>
    </row>
    <row r="41" spans="1:14" ht="12.75">
      <c r="A41" s="47">
        <v>7000</v>
      </c>
      <c r="B41" s="48" t="s">
        <v>113</v>
      </c>
      <c r="C41" s="48" t="s">
        <v>114</v>
      </c>
      <c r="E41" s="49">
        <v>20180</v>
      </c>
      <c r="F41" s="49">
        <v>35933</v>
      </c>
      <c r="G41" s="48" t="s">
        <v>37</v>
      </c>
      <c r="H41" s="48" t="s">
        <v>38</v>
      </c>
      <c r="I41" s="47">
        <v>8338</v>
      </c>
      <c r="J41" s="48" t="s">
        <v>97</v>
      </c>
      <c r="K41" s="48" t="s">
        <v>51</v>
      </c>
      <c r="L41" s="47">
        <v>8344</v>
      </c>
      <c r="M41" s="48" t="s">
        <v>52</v>
      </c>
      <c r="N41" s="48" t="s">
        <v>51</v>
      </c>
    </row>
    <row r="42" spans="1:14" ht="12.75">
      <c r="A42" s="47">
        <v>18275</v>
      </c>
      <c r="B42" s="48" t="s">
        <v>115</v>
      </c>
      <c r="C42" s="48" t="s">
        <v>116</v>
      </c>
      <c r="D42" s="48" t="s">
        <v>91</v>
      </c>
      <c r="E42" s="49">
        <v>13092</v>
      </c>
      <c r="F42" s="49">
        <v>39317</v>
      </c>
      <c r="G42" s="48" t="s">
        <v>37</v>
      </c>
      <c r="H42" s="48" t="s">
        <v>38</v>
      </c>
      <c r="I42" s="47">
        <v>8335</v>
      </c>
      <c r="J42" s="48" t="s">
        <v>97</v>
      </c>
      <c r="K42" s="48" t="s">
        <v>51</v>
      </c>
      <c r="L42" s="47">
        <v>8344</v>
      </c>
      <c r="M42" s="48" t="s">
        <v>52</v>
      </c>
      <c r="N42" s="48" t="s">
        <v>51</v>
      </c>
    </row>
    <row r="43" spans="1:14" ht="12.75">
      <c r="A43" s="47">
        <v>6885</v>
      </c>
      <c r="B43" s="48" t="s">
        <v>117</v>
      </c>
      <c r="C43" s="48" t="s">
        <v>118</v>
      </c>
      <c r="E43" s="49">
        <v>17859</v>
      </c>
      <c r="F43" s="49">
        <v>32076</v>
      </c>
      <c r="G43" s="48" t="s">
        <v>37</v>
      </c>
      <c r="H43" s="48" t="s">
        <v>38</v>
      </c>
      <c r="I43" s="47">
        <v>8338</v>
      </c>
      <c r="J43" s="48" t="s">
        <v>97</v>
      </c>
      <c r="K43" s="48" t="s">
        <v>51</v>
      </c>
      <c r="L43" s="47">
        <v>8344</v>
      </c>
      <c r="M43" s="48" t="s">
        <v>52</v>
      </c>
      <c r="N43" s="48" t="s">
        <v>51</v>
      </c>
    </row>
    <row r="44" spans="1:14" ht="12.75">
      <c r="A44" s="47"/>
      <c r="B44" s="48"/>
      <c r="C44" s="48"/>
      <c r="E44" s="49"/>
      <c r="F44" s="49"/>
      <c r="G44" s="48"/>
      <c r="H44" s="48"/>
      <c r="I44" s="47"/>
      <c r="J44" s="48"/>
      <c r="K44" s="48"/>
      <c r="L44" s="47"/>
      <c r="M44" s="48"/>
      <c r="N44" s="48"/>
    </row>
    <row r="45" spans="1:14" ht="12.75">
      <c r="A45" s="47"/>
      <c r="B45" s="48"/>
      <c r="C45" s="48"/>
      <c r="E45" s="49"/>
      <c r="F45" s="49"/>
      <c r="G45" s="48"/>
      <c r="H45" s="48"/>
      <c r="I45" s="47"/>
      <c r="J45" s="48"/>
      <c r="K45" s="48"/>
      <c r="L45" s="47"/>
      <c r="M45" s="48"/>
      <c r="N45" s="48"/>
    </row>
    <row r="46" spans="1:14" ht="12.75">
      <c r="A46" s="47">
        <v>6332</v>
      </c>
      <c r="B46" s="48" t="s">
        <v>119</v>
      </c>
      <c r="C46" s="48" t="s">
        <v>120</v>
      </c>
      <c r="E46" s="49">
        <v>22169</v>
      </c>
      <c r="F46" s="49">
        <v>35872</v>
      </c>
      <c r="G46" s="48" t="s">
        <v>37</v>
      </c>
      <c r="H46" s="48" t="s">
        <v>55</v>
      </c>
      <c r="I46" s="47">
        <v>8336</v>
      </c>
      <c r="J46" s="48" t="s">
        <v>121</v>
      </c>
      <c r="K46" s="48" t="s">
        <v>63</v>
      </c>
      <c r="L46" s="47">
        <v>8345</v>
      </c>
      <c r="M46" s="48" t="s">
        <v>64</v>
      </c>
      <c r="N46" s="48" t="s">
        <v>63</v>
      </c>
    </row>
    <row r="47" spans="1:14" ht="12.75">
      <c r="A47" s="47">
        <v>6247</v>
      </c>
      <c r="B47" s="48" t="s">
        <v>122</v>
      </c>
      <c r="C47" s="48" t="s">
        <v>123</v>
      </c>
      <c r="D47" s="48" t="s">
        <v>88</v>
      </c>
      <c r="E47" s="49">
        <v>19527</v>
      </c>
      <c r="F47" s="49">
        <v>36199</v>
      </c>
      <c r="G47" s="48" t="s">
        <v>37</v>
      </c>
      <c r="H47" s="48" t="s">
        <v>38</v>
      </c>
      <c r="I47" s="47">
        <v>8336</v>
      </c>
      <c r="J47" s="48" t="s">
        <v>121</v>
      </c>
      <c r="K47" s="48" t="s">
        <v>63</v>
      </c>
      <c r="L47" s="47">
        <v>8345</v>
      </c>
      <c r="M47" s="48" t="s">
        <v>64</v>
      </c>
      <c r="N47" s="48" t="s">
        <v>63</v>
      </c>
    </row>
    <row r="48" spans="1:14" ht="12.75">
      <c r="A48" s="47">
        <v>6653</v>
      </c>
      <c r="B48" s="48" t="s">
        <v>124</v>
      </c>
      <c r="C48" s="48" t="s">
        <v>106</v>
      </c>
      <c r="E48" s="49">
        <v>22657</v>
      </c>
      <c r="F48" s="49">
        <v>34771</v>
      </c>
      <c r="G48" s="48" t="s">
        <v>37</v>
      </c>
      <c r="H48" s="48" t="s">
        <v>38</v>
      </c>
      <c r="I48" s="47">
        <v>8336</v>
      </c>
      <c r="J48" s="48" t="s">
        <v>121</v>
      </c>
      <c r="K48" s="48" t="s">
        <v>63</v>
      </c>
      <c r="L48" s="47">
        <v>8345</v>
      </c>
      <c r="M48" s="48" t="s">
        <v>64</v>
      </c>
      <c r="N48" s="48" t="s">
        <v>63</v>
      </c>
    </row>
    <row r="49" spans="1:14" ht="12.75">
      <c r="A49" s="47">
        <v>22678</v>
      </c>
      <c r="B49" s="48" t="s">
        <v>125</v>
      </c>
      <c r="C49" s="48" t="s">
        <v>126</v>
      </c>
      <c r="D49" s="48" t="s">
        <v>37</v>
      </c>
      <c r="E49" s="49">
        <v>26002</v>
      </c>
      <c r="F49" s="49">
        <v>39181</v>
      </c>
      <c r="G49" s="48" t="s">
        <v>47</v>
      </c>
      <c r="H49" s="48" t="s">
        <v>38</v>
      </c>
      <c r="I49" s="47">
        <v>8336</v>
      </c>
      <c r="J49" s="48" t="s">
        <v>121</v>
      </c>
      <c r="K49" s="48" t="s">
        <v>63</v>
      </c>
      <c r="L49" s="47">
        <v>8345</v>
      </c>
      <c r="M49" s="48" t="s">
        <v>64</v>
      </c>
      <c r="N49" s="48" t="s">
        <v>63</v>
      </c>
    </row>
    <row r="50" spans="1:14" ht="12.75">
      <c r="A50" s="47">
        <v>6748</v>
      </c>
      <c r="B50" s="48" t="s">
        <v>127</v>
      </c>
      <c r="C50" s="48" t="s">
        <v>128</v>
      </c>
      <c r="D50" s="48" t="s">
        <v>43</v>
      </c>
      <c r="E50" s="49">
        <v>21910</v>
      </c>
      <c r="F50" s="49">
        <v>35709</v>
      </c>
      <c r="G50" s="48" t="s">
        <v>37</v>
      </c>
      <c r="H50" s="48" t="s">
        <v>38</v>
      </c>
      <c r="I50" s="47">
        <v>8336</v>
      </c>
      <c r="J50" s="48" t="s">
        <v>121</v>
      </c>
      <c r="K50" s="48" t="s">
        <v>63</v>
      </c>
      <c r="L50" s="47">
        <v>8345</v>
      </c>
      <c r="M50" s="48" t="s">
        <v>64</v>
      </c>
      <c r="N50" s="48" t="s">
        <v>63</v>
      </c>
    </row>
    <row r="51" spans="1:14" ht="12.75">
      <c r="A51" s="47">
        <v>30883</v>
      </c>
      <c r="B51" s="48" t="s">
        <v>129</v>
      </c>
      <c r="C51" s="48" t="s">
        <v>130</v>
      </c>
      <c r="D51" s="48" t="s">
        <v>91</v>
      </c>
      <c r="E51" s="49">
        <v>25134</v>
      </c>
      <c r="F51" s="49">
        <v>40856</v>
      </c>
      <c r="G51" s="48" t="s">
        <v>37</v>
      </c>
      <c r="H51" s="48" t="s">
        <v>55</v>
      </c>
      <c r="I51" s="47">
        <v>8336</v>
      </c>
      <c r="J51" s="48" t="s">
        <v>121</v>
      </c>
      <c r="K51" s="48" t="s">
        <v>63</v>
      </c>
      <c r="L51" s="47">
        <v>8345</v>
      </c>
      <c r="M51" s="48" t="s">
        <v>64</v>
      </c>
      <c r="N51" s="48" t="s">
        <v>63</v>
      </c>
    </row>
    <row r="52" spans="1:14" ht="12.75">
      <c r="A52" s="47">
        <v>6617</v>
      </c>
      <c r="B52" s="48" t="s">
        <v>131</v>
      </c>
      <c r="C52" s="48" t="s">
        <v>132</v>
      </c>
      <c r="D52" s="48" t="s">
        <v>91</v>
      </c>
      <c r="E52" s="49">
        <v>25143</v>
      </c>
      <c r="F52" s="49">
        <v>35681</v>
      </c>
      <c r="G52" s="48" t="s">
        <v>37</v>
      </c>
      <c r="H52" s="48" t="s">
        <v>38</v>
      </c>
      <c r="I52" s="47">
        <v>8339</v>
      </c>
      <c r="J52" s="48" t="s">
        <v>121</v>
      </c>
      <c r="K52" s="48" t="s">
        <v>63</v>
      </c>
      <c r="L52" s="47">
        <v>8345</v>
      </c>
      <c r="M52" s="48" t="s">
        <v>64</v>
      </c>
      <c r="N52" s="48" t="s">
        <v>63</v>
      </c>
    </row>
    <row r="53" spans="1:14" ht="12.75">
      <c r="A53" s="47">
        <v>6624</v>
      </c>
      <c r="B53" s="48" t="s">
        <v>133</v>
      </c>
      <c r="C53" s="48" t="s">
        <v>134</v>
      </c>
      <c r="E53" s="49">
        <v>27209</v>
      </c>
      <c r="F53" s="49">
        <v>34883</v>
      </c>
      <c r="G53" s="48" t="s">
        <v>37</v>
      </c>
      <c r="H53" s="48" t="s">
        <v>55</v>
      </c>
      <c r="I53" s="47">
        <v>8336</v>
      </c>
      <c r="J53" s="48" t="s">
        <v>121</v>
      </c>
      <c r="K53" s="48" t="s">
        <v>63</v>
      </c>
      <c r="L53" s="47">
        <v>8345</v>
      </c>
      <c r="M53" s="48" t="s">
        <v>64</v>
      </c>
      <c r="N53" s="48" t="s">
        <v>63</v>
      </c>
    </row>
    <row r="54" spans="1:14" ht="12.75">
      <c r="A54" s="47">
        <v>28444</v>
      </c>
      <c r="B54" s="48" t="s">
        <v>135</v>
      </c>
      <c r="C54" s="48" t="s">
        <v>130</v>
      </c>
      <c r="D54" s="48" t="s">
        <v>91</v>
      </c>
      <c r="E54" s="49">
        <v>22700</v>
      </c>
      <c r="F54" s="49">
        <v>40294</v>
      </c>
      <c r="G54" s="48" t="s">
        <v>37</v>
      </c>
      <c r="H54" s="48" t="s">
        <v>38</v>
      </c>
      <c r="I54" s="47">
        <v>8336</v>
      </c>
      <c r="J54" s="48" t="s">
        <v>121</v>
      </c>
      <c r="K54" s="48" t="s">
        <v>63</v>
      </c>
      <c r="L54" s="47">
        <v>8345</v>
      </c>
      <c r="M54" s="48" t="s">
        <v>64</v>
      </c>
      <c r="N54" s="48" t="s">
        <v>63</v>
      </c>
    </row>
    <row r="55" spans="1:14" ht="12.75">
      <c r="A55" s="47">
        <v>6421</v>
      </c>
      <c r="B55" s="48" t="s">
        <v>79</v>
      </c>
      <c r="C55" s="48" t="s">
        <v>136</v>
      </c>
      <c r="D55" s="48" t="s">
        <v>88</v>
      </c>
      <c r="E55" s="49">
        <v>23290</v>
      </c>
      <c r="F55" s="49">
        <v>32405</v>
      </c>
      <c r="G55" s="48" t="s">
        <v>37</v>
      </c>
      <c r="H55" s="48" t="s">
        <v>38</v>
      </c>
      <c r="I55" s="47">
        <v>8339</v>
      </c>
      <c r="J55" s="48" t="s">
        <v>121</v>
      </c>
      <c r="K55" s="48" t="s">
        <v>63</v>
      </c>
      <c r="L55" s="47">
        <v>8345</v>
      </c>
      <c r="M55" s="48" t="s">
        <v>64</v>
      </c>
      <c r="N55" s="48" t="s">
        <v>63</v>
      </c>
    </row>
    <row r="56" spans="1:14" ht="12.75">
      <c r="A56" s="47">
        <v>6792</v>
      </c>
      <c r="B56" s="48" t="s">
        <v>137</v>
      </c>
      <c r="C56" s="48" t="s">
        <v>138</v>
      </c>
      <c r="D56" s="48" t="s">
        <v>91</v>
      </c>
      <c r="E56" s="49">
        <v>23285</v>
      </c>
      <c r="F56" s="49">
        <v>35296</v>
      </c>
      <c r="G56" s="48" t="s">
        <v>37</v>
      </c>
      <c r="H56" s="48" t="s">
        <v>38</v>
      </c>
      <c r="I56" s="47">
        <v>8339</v>
      </c>
      <c r="J56" s="48" t="s">
        <v>121</v>
      </c>
      <c r="K56" s="48" t="s">
        <v>63</v>
      </c>
      <c r="L56" s="47">
        <v>8345</v>
      </c>
      <c r="M56" s="48" t="s">
        <v>64</v>
      </c>
      <c r="N56" s="48" t="s">
        <v>63</v>
      </c>
    </row>
    <row r="57" spans="1:14" ht="12.75">
      <c r="A57" s="47">
        <v>28441</v>
      </c>
      <c r="B57" s="48" t="s">
        <v>139</v>
      </c>
      <c r="C57" s="48" t="s">
        <v>66</v>
      </c>
      <c r="E57" s="49">
        <v>26771</v>
      </c>
      <c r="F57" s="49">
        <v>40294</v>
      </c>
      <c r="G57" s="48" t="s">
        <v>37</v>
      </c>
      <c r="H57" s="48" t="s">
        <v>38</v>
      </c>
      <c r="I57" s="47">
        <v>8336</v>
      </c>
      <c r="J57" s="48" t="s">
        <v>121</v>
      </c>
      <c r="K57" s="48" t="s">
        <v>63</v>
      </c>
      <c r="L57" s="47">
        <v>8345</v>
      </c>
      <c r="M57" s="48" t="s">
        <v>64</v>
      </c>
      <c r="N57" s="48" t="s">
        <v>63</v>
      </c>
    </row>
    <row r="58" spans="1:14" ht="12.75">
      <c r="A58" s="47">
        <v>28443</v>
      </c>
      <c r="B58" s="48" t="s">
        <v>140</v>
      </c>
      <c r="C58" s="48" t="s">
        <v>141</v>
      </c>
      <c r="D58" s="48" t="s">
        <v>88</v>
      </c>
      <c r="E58" s="49">
        <v>28355</v>
      </c>
      <c r="F58" s="49">
        <v>40294</v>
      </c>
      <c r="G58" s="48" t="s">
        <v>37</v>
      </c>
      <c r="H58" s="48" t="s">
        <v>38</v>
      </c>
      <c r="I58" s="47">
        <v>8336</v>
      </c>
      <c r="J58" s="48" t="s">
        <v>121</v>
      </c>
      <c r="K58" s="48" t="s">
        <v>63</v>
      </c>
      <c r="L58" s="47">
        <v>8345</v>
      </c>
      <c r="M58" s="48" t="s">
        <v>64</v>
      </c>
      <c r="N58" s="48" t="s">
        <v>63</v>
      </c>
    </row>
    <row r="59" spans="1:14" ht="12.75">
      <c r="A59" s="47">
        <v>6407</v>
      </c>
      <c r="B59" s="48" t="s">
        <v>142</v>
      </c>
      <c r="C59" s="48" t="s">
        <v>141</v>
      </c>
      <c r="D59" s="48" t="s">
        <v>143</v>
      </c>
      <c r="E59" s="49">
        <v>21831</v>
      </c>
      <c r="F59" s="49">
        <v>31776</v>
      </c>
      <c r="G59" s="48" t="s">
        <v>37</v>
      </c>
      <c r="H59" s="48" t="s">
        <v>38</v>
      </c>
      <c r="I59" s="47">
        <v>8339</v>
      </c>
      <c r="J59" s="48" t="s">
        <v>121</v>
      </c>
      <c r="K59" s="48" t="s">
        <v>63</v>
      </c>
      <c r="L59" s="47">
        <v>8345</v>
      </c>
      <c r="M59" s="48" t="s">
        <v>64</v>
      </c>
      <c r="N59" s="48" t="s">
        <v>63</v>
      </c>
    </row>
    <row r="60" spans="1:14" ht="12.75">
      <c r="A60" s="47">
        <v>17972</v>
      </c>
      <c r="B60" s="48" t="s">
        <v>144</v>
      </c>
      <c r="C60" s="48" t="s">
        <v>145</v>
      </c>
      <c r="E60" s="49">
        <v>26538</v>
      </c>
      <c r="F60" s="49">
        <v>38166</v>
      </c>
      <c r="G60" s="48" t="s">
        <v>37</v>
      </c>
      <c r="H60" s="48" t="s">
        <v>38</v>
      </c>
      <c r="I60" s="47">
        <v>8336</v>
      </c>
      <c r="J60" s="48" t="s">
        <v>121</v>
      </c>
      <c r="K60" s="48" t="s">
        <v>63</v>
      </c>
      <c r="L60" s="47">
        <v>8345</v>
      </c>
      <c r="M60" s="48" t="s">
        <v>64</v>
      </c>
      <c r="N60" s="48" t="s">
        <v>63</v>
      </c>
    </row>
    <row r="61" spans="1:14" ht="12.75">
      <c r="A61" s="47">
        <v>8006</v>
      </c>
      <c r="B61" s="48" t="s">
        <v>146</v>
      </c>
      <c r="C61" s="48" t="s">
        <v>147</v>
      </c>
      <c r="E61" s="49">
        <v>23196</v>
      </c>
      <c r="F61" s="49">
        <v>36703</v>
      </c>
      <c r="G61" s="48" t="s">
        <v>37</v>
      </c>
      <c r="H61" s="48" t="s">
        <v>38</v>
      </c>
      <c r="I61" s="47">
        <v>8339</v>
      </c>
      <c r="J61" s="48" t="s">
        <v>121</v>
      </c>
      <c r="K61" s="48" t="s">
        <v>63</v>
      </c>
      <c r="L61" s="47">
        <v>8345</v>
      </c>
      <c r="M61" s="48" t="s">
        <v>64</v>
      </c>
      <c r="N61" s="48" t="s">
        <v>63</v>
      </c>
    </row>
    <row r="62" spans="1:14" ht="12.75">
      <c r="A62" s="47">
        <v>6163</v>
      </c>
      <c r="B62" s="48" t="s">
        <v>148</v>
      </c>
      <c r="C62" s="48" t="s">
        <v>149</v>
      </c>
      <c r="D62" s="48" t="s">
        <v>88</v>
      </c>
      <c r="E62" s="49">
        <v>27007</v>
      </c>
      <c r="F62" s="49">
        <v>35709</v>
      </c>
      <c r="G62" s="48" t="s">
        <v>37</v>
      </c>
      <c r="H62" s="48" t="s">
        <v>38</v>
      </c>
      <c r="I62" s="47">
        <v>8339</v>
      </c>
      <c r="J62" s="48" t="s">
        <v>121</v>
      </c>
      <c r="K62" s="48" t="s">
        <v>63</v>
      </c>
      <c r="L62" s="47">
        <v>8345</v>
      </c>
      <c r="M62" s="48" t="s">
        <v>64</v>
      </c>
      <c r="N62" s="48" t="s">
        <v>63</v>
      </c>
    </row>
    <row r="63" spans="1:14" ht="12.75">
      <c r="A63" s="47">
        <v>6712</v>
      </c>
      <c r="B63" s="48" t="s">
        <v>150</v>
      </c>
      <c r="C63" s="48" t="s">
        <v>80</v>
      </c>
      <c r="D63" s="48" t="s">
        <v>72</v>
      </c>
      <c r="E63" s="49">
        <v>19764</v>
      </c>
      <c r="F63" s="49">
        <v>31376</v>
      </c>
      <c r="G63" s="48" t="s">
        <v>37</v>
      </c>
      <c r="H63" s="48" t="s">
        <v>38</v>
      </c>
      <c r="I63" s="47">
        <v>8339</v>
      </c>
      <c r="J63" s="48" t="s">
        <v>121</v>
      </c>
      <c r="K63" s="48" t="s">
        <v>63</v>
      </c>
      <c r="L63" s="47">
        <v>8345</v>
      </c>
      <c r="M63" s="48" t="s">
        <v>64</v>
      </c>
      <c r="N63" s="48" t="s">
        <v>63</v>
      </c>
    </row>
    <row r="64" spans="1:14" ht="12.75">
      <c r="A64" s="47">
        <v>917</v>
      </c>
      <c r="B64" s="48" t="s">
        <v>151</v>
      </c>
      <c r="C64" s="48" t="s">
        <v>152</v>
      </c>
      <c r="D64" s="48" t="s">
        <v>143</v>
      </c>
      <c r="E64" s="49">
        <v>26417</v>
      </c>
      <c r="F64" s="49">
        <v>36472</v>
      </c>
      <c r="G64" s="48" t="s">
        <v>37</v>
      </c>
      <c r="H64" s="48" t="s">
        <v>55</v>
      </c>
      <c r="I64" s="47">
        <v>8336</v>
      </c>
      <c r="J64" s="48" t="s">
        <v>121</v>
      </c>
      <c r="K64" s="48" t="s">
        <v>63</v>
      </c>
      <c r="L64" s="47">
        <v>8345</v>
      </c>
      <c r="M64" s="48" t="s">
        <v>64</v>
      </c>
      <c r="N64" s="48" t="s">
        <v>63</v>
      </c>
    </row>
    <row r="65" spans="1:14" ht="12.75">
      <c r="A65" s="47">
        <v>6616</v>
      </c>
      <c r="B65" s="48" t="s">
        <v>153</v>
      </c>
      <c r="C65" s="48" t="s">
        <v>109</v>
      </c>
      <c r="D65" s="48" t="s">
        <v>91</v>
      </c>
      <c r="E65" s="49">
        <v>23987</v>
      </c>
      <c r="F65" s="49">
        <v>31936</v>
      </c>
      <c r="G65" s="48" t="s">
        <v>37</v>
      </c>
      <c r="H65" s="48" t="s">
        <v>38</v>
      </c>
      <c r="I65" s="47">
        <v>8336</v>
      </c>
      <c r="J65" s="48" t="s">
        <v>121</v>
      </c>
      <c r="K65" s="48" t="s">
        <v>63</v>
      </c>
      <c r="L65" s="47">
        <v>8345</v>
      </c>
      <c r="M65" s="48" t="s">
        <v>64</v>
      </c>
      <c r="N65" s="48" t="s">
        <v>63</v>
      </c>
    </row>
    <row r="66" spans="1:14" ht="12.75">
      <c r="A66" s="47">
        <v>27761</v>
      </c>
      <c r="B66" s="48" t="s">
        <v>154</v>
      </c>
      <c r="C66" s="48" t="s">
        <v>155</v>
      </c>
      <c r="D66" s="48" t="s">
        <v>43</v>
      </c>
      <c r="E66" s="49">
        <v>23634</v>
      </c>
      <c r="F66" s="49">
        <v>40294</v>
      </c>
      <c r="G66" s="48" t="s">
        <v>47</v>
      </c>
      <c r="H66" s="48" t="s">
        <v>38</v>
      </c>
      <c r="I66" s="47">
        <v>8339</v>
      </c>
      <c r="J66" s="48" t="s">
        <v>121</v>
      </c>
      <c r="K66" s="48" t="s">
        <v>63</v>
      </c>
      <c r="L66" s="47">
        <v>8345</v>
      </c>
      <c r="M66" s="48" t="s">
        <v>64</v>
      </c>
      <c r="N66" s="48" t="s">
        <v>63</v>
      </c>
    </row>
    <row r="67" spans="1:14" ht="12.75">
      <c r="A67" s="47">
        <v>8470</v>
      </c>
      <c r="B67" s="48" t="s">
        <v>156</v>
      </c>
      <c r="C67" s="48" t="s">
        <v>157</v>
      </c>
      <c r="D67" s="48" t="s">
        <v>43</v>
      </c>
      <c r="E67" s="49">
        <v>29648</v>
      </c>
      <c r="F67" s="49">
        <v>40294</v>
      </c>
      <c r="G67" s="48" t="s">
        <v>37</v>
      </c>
      <c r="H67" s="48" t="s">
        <v>38</v>
      </c>
      <c r="I67" s="47">
        <v>8336</v>
      </c>
      <c r="J67" s="48" t="s">
        <v>121</v>
      </c>
      <c r="K67" s="48" t="s">
        <v>63</v>
      </c>
      <c r="L67" s="47">
        <v>8345</v>
      </c>
      <c r="M67" s="48" t="s">
        <v>64</v>
      </c>
      <c r="N67" s="48" t="s">
        <v>63</v>
      </c>
    </row>
    <row r="68" spans="1:14" ht="12.75">
      <c r="A68" s="47"/>
      <c r="B68" s="48"/>
      <c r="C68" s="48"/>
      <c r="D68" s="48"/>
      <c r="E68" s="49"/>
      <c r="F68" s="49"/>
      <c r="G68" s="48"/>
      <c r="H68" s="48"/>
      <c r="I68" s="47"/>
      <c r="J68" s="48"/>
      <c r="K68" s="48"/>
      <c r="L68" s="47"/>
      <c r="M68" s="48"/>
      <c r="N68" s="48"/>
    </row>
    <row r="69" spans="1:14" ht="12.75">
      <c r="A69" s="47"/>
      <c r="B69" s="48"/>
      <c r="C69" s="48"/>
      <c r="D69" s="48"/>
      <c r="E69" s="49"/>
      <c r="F69" s="49"/>
      <c r="G69" s="48"/>
      <c r="H69" s="48"/>
      <c r="I69" s="47"/>
      <c r="J69" s="48"/>
      <c r="K69" s="48"/>
      <c r="L69" s="47"/>
      <c r="M69" s="48"/>
      <c r="N69" s="48"/>
    </row>
    <row r="70" spans="1:14" ht="12.75">
      <c r="A70" s="47">
        <v>6282</v>
      </c>
      <c r="B70" s="48" t="s">
        <v>158</v>
      </c>
      <c r="C70" s="48" t="s">
        <v>159</v>
      </c>
      <c r="E70" s="49">
        <v>22680</v>
      </c>
      <c r="F70" s="49">
        <v>30229</v>
      </c>
      <c r="G70" s="48" t="s">
        <v>37</v>
      </c>
      <c r="H70" s="48" t="s">
        <v>38</v>
      </c>
      <c r="I70" s="47">
        <v>8331</v>
      </c>
      <c r="J70" s="48" t="s">
        <v>160</v>
      </c>
      <c r="K70" s="48" t="s">
        <v>40</v>
      </c>
      <c r="L70" s="47">
        <v>8343</v>
      </c>
      <c r="M70" s="48" t="s">
        <v>41</v>
      </c>
      <c r="N70" s="48" t="s">
        <v>40</v>
      </c>
    </row>
    <row r="71" spans="1:14" ht="12.75">
      <c r="A71" s="47">
        <v>13361</v>
      </c>
      <c r="B71" s="48" t="s">
        <v>161</v>
      </c>
      <c r="C71" s="48" t="s">
        <v>162</v>
      </c>
      <c r="E71" s="49">
        <v>22422</v>
      </c>
      <c r="F71" s="49">
        <v>37263</v>
      </c>
      <c r="G71" s="48" t="s">
        <v>37</v>
      </c>
      <c r="H71" s="48" t="s">
        <v>38</v>
      </c>
      <c r="I71" s="47">
        <v>8331</v>
      </c>
      <c r="J71" s="48" t="s">
        <v>160</v>
      </c>
      <c r="K71" s="48" t="s">
        <v>40</v>
      </c>
      <c r="L71" s="47">
        <v>8343</v>
      </c>
      <c r="M71" s="48" t="s">
        <v>41</v>
      </c>
      <c r="N71" s="48" t="s">
        <v>40</v>
      </c>
    </row>
    <row r="72" spans="1:14" ht="12.75">
      <c r="A72" s="47"/>
      <c r="B72" s="48"/>
      <c r="C72" s="48"/>
      <c r="E72" s="49"/>
      <c r="F72" s="49"/>
      <c r="G72" s="48"/>
      <c r="H72" s="48"/>
      <c r="I72" s="47"/>
      <c r="J72" s="48"/>
      <c r="K72" s="48"/>
      <c r="L72" s="47"/>
      <c r="M72" s="48"/>
      <c r="N72" s="48"/>
    </row>
    <row r="73" spans="1:14" ht="12.75">
      <c r="A73" s="47"/>
      <c r="B73" s="48"/>
      <c r="C73" s="48"/>
      <c r="E73" s="49"/>
      <c r="F73" s="49"/>
      <c r="G73" s="48"/>
      <c r="H73" s="48"/>
      <c r="I73" s="47"/>
      <c r="J73" s="48"/>
      <c r="K73" s="48"/>
      <c r="L73" s="47"/>
      <c r="M73" s="48"/>
      <c r="N73" s="48"/>
    </row>
    <row r="74" spans="1:14" ht="12.75">
      <c r="A74" s="47">
        <v>29811</v>
      </c>
      <c r="B74" s="48" t="s">
        <v>127</v>
      </c>
      <c r="C74" s="48" t="s">
        <v>163</v>
      </c>
      <c r="D74" s="48" t="s">
        <v>91</v>
      </c>
      <c r="E74" s="49">
        <v>26629</v>
      </c>
      <c r="F74" s="49">
        <v>40725</v>
      </c>
      <c r="G74" s="48" t="s">
        <v>37</v>
      </c>
      <c r="H74" s="48" t="s">
        <v>38</v>
      </c>
      <c r="I74" s="47">
        <v>8332</v>
      </c>
      <c r="J74" s="48" t="s">
        <v>164</v>
      </c>
      <c r="K74" s="48" t="s">
        <v>51</v>
      </c>
      <c r="L74" s="47">
        <v>8344</v>
      </c>
      <c r="M74" s="48" t="s">
        <v>52</v>
      </c>
      <c r="N74" s="48" t="s">
        <v>51</v>
      </c>
    </row>
    <row r="75" spans="1:14" ht="12.75">
      <c r="A75" s="47"/>
      <c r="B75" s="48"/>
      <c r="C75" s="48"/>
      <c r="D75" s="48"/>
      <c r="E75" s="49"/>
      <c r="F75" s="49"/>
      <c r="G75" s="48"/>
      <c r="H75" s="48"/>
      <c r="I75" s="47"/>
      <c r="J75" s="48"/>
      <c r="K75" s="48"/>
      <c r="L75" s="47"/>
      <c r="M75" s="48"/>
      <c r="N75" s="48"/>
    </row>
    <row r="76" spans="1:14" ht="12.75">
      <c r="A76" s="47"/>
      <c r="B76" s="48"/>
      <c r="C76" s="48"/>
      <c r="D76" s="48"/>
      <c r="E76" s="49"/>
      <c r="F76" s="49"/>
      <c r="G76" s="48"/>
      <c r="H76" s="48"/>
      <c r="I76" s="47"/>
      <c r="J76" s="48"/>
      <c r="K76" s="48"/>
      <c r="L76" s="47"/>
      <c r="M76" s="48"/>
      <c r="N76" s="48"/>
    </row>
    <row r="77" spans="1:14" ht="12.75">
      <c r="A77" s="47">
        <v>26533</v>
      </c>
      <c r="B77" s="48" t="s">
        <v>165</v>
      </c>
      <c r="C77" s="48" t="s">
        <v>80</v>
      </c>
      <c r="D77" s="48" t="s">
        <v>47</v>
      </c>
      <c r="E77" s="49">
        <v>24948</v>
      </c>
      <c r="F77" s="49">
        <v>39825</v>
      </c>
      <c r="G77" s="48" t="s">
        <v>37</v>
      </c>
      <c r="H77" s="48" t="s">
        <v>38</v>
      </c>
      <c r="I77" s="47"/>
      <c r="L77" s="47">
        <v>8345</v>
      </c>
      <c r="M77" s="48" t="s">
        <v>64</v>
      </c>
      <c r="N77" s="48" t="s">
        <v>63</v>
      </c>
    </row>
    <row r="78" ht="12.75">
      <c r="A78" s="51">
        <f>COUNT(A2:A77)</f>
        <v>60</v>
      </c>
    </row>
    <row r="81" ht="12.75">
      <c r="J81" s="52" t="s">
        <v>166</v>
      </c>
    </row>
    <row r="82" spans="10:11" ht="12.75">
      <c r="J82" s="48" t="s">
        <v>39</v>
      </c>
      <c r="K82" s="46">
        <f>COUNTA(K2:K4)</f>
        <v>3</v>
      </c>
    </row>
    <row r="83" spans="10:11" ht="12.75">
      <c r="J83" s="48" t="s">
        <v>50</v>
      </c>
      <c r="K83" s="46">
        <f>COUNTA(K7:K10)</f>
        <v>4</v>
      </c>
    </row>
    <row r="84" spans="10:11" ht="12.75">
      <c r="J84" s="48" t="s">
        <v>62</v>
      </c>
      <c r="K84" s="46">
        <f>COUNTA(K13:K15)</f>
        <v>3</v>
      </c>
    </row>
    <row r="88" spans="10:11" ht="12.75">
      <c r="J88" s="48" t="s">
        <v>73</v>
      </c>
      <c r="K88" s="46">
        <f>COUNTA(K18:K29)</f>
        <v>12</v>
      </c>
    </row>
    <row r="89" spans="10:11" ht="12.75">
      <c r="J89" s="48" t="s">
        <v>97</v>
      </c>
      <c r="K89" s="46">
        <f>COUNTA(K32:K43)</f>
        <v>12</v>
      </c>
    </row>
    <row r="90" spans="10:11" ht="12.75">
      <c r="J90" s="48" t="s">
        <v>121</v>
      </c>
      <c r="K90" s="46">
        <f>+COUNTA(K46:K67)</f>
        <v>22</v>
      </c>
    </row>
    <row r="93" spans="10:11" ht="12.75">
      <c r="J93" s="48" t="s">
        <v>160</v>
      </c>
      <c r="K93" s="46">
        <v>2</v>
      </c>
    </row>
    <row r="94" spans="10:11" ht="12.75">
      <c r="J94" s="48" t="s">
        <v>164</v>
      </c>
      <c r="K94" s="46">
        <v>1</v>
      </c>
    </row>
    <row r="95" ht="12.75">
      <c r="J95" s="48" t="s">
        <v>167</v>
      </c>
    </row>
    <row r="98" spans="10:11" ht="12.75">
      <c r="J98" s="48" t="s">
        <v>64</v>
      </c>
      <c r="K98" s="46">
        <v>1</v>
      </c>
    </row>
    <row r="100" ht="12.75">
      <c r="K100" s="46">
        <f>SUM(K82:K98)</f>
        <v>60</v>
      </c>
    </row>
    <row r="102" spans="10:11" ht="12.75">
      <c r="J102" s="46" t="s">
        <v>168</v>
      </c>
      <c r="K102" s="46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Suzy Baldwin</dc:creator>
  <cp:keywords/>
  <dc:description/>
  <cp:lastModifiedBy>City of New Haven</cp:lastModifiedBy>
  <cp:lastPrinted>2013-11-14T23:00:25Z</cp:lastPrinted>
  <dcterms:created xsi:type="dcterms:W3CDTF">2013-03-26T21:40:37Z</dcterms:created>
  <dcterms:modified xsi:type="dcterms:W3CDTF">2013-11-15T15:12:50Z</dcterms:modified>
  <cp:category/>
  <cp:version/>
  <cp:contentType/>
  <cp:contentStatus/>
</cp:coreProperties>
</file>