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5820" windowHeight="13940" activeTab="0"/>
  </bookViews>
  <sheets>
    <sheet name="Mar. 2013 MPLH  " sheetId="1" r:id="rId1"/>
    <sheet name="Feb. 2013 MPLH   " sheetId="2" state="hidden" r:id="rId2"/>
    <sheet name="Jan. 2013 MPLH   " sheetId="3" state="hidden" r:id="rId3"/>
    <sheet name="Dec. 2012 MPLH  " sheetId="4" state="hidden" r:id="rId4"/>
    <sheet name="Sorted Oct. 2012 MPLH  (2)" sheetId="5" state="hidden" r:id="rId5"/>
    <sheet name="Sorted Sept 2012 MPLH " sheetId="6" state="hidden" r:id="rId6"/>
    <sheet name="Nov. 2012 MPLH " sheetId="7" state="hidden" r:id="rId7"/>
    <sheet name="Sept 2012 MPLH " sheetId="8" state="hidden" r:id="rId8"/>
    <sheet name="Sept 2011 MPLH" sheetId="9" state="hidden" r:id="rId9"/>
    <sheet name="Oct MPLH" sheetId="10" state="hidden" r:id="rId10"/>
    <sheet name="Nov MPLH" sheetId="11" state="hidden" r:id="rId11"/>
    <sheet name="Dec MPLH" sheetId="12" state="hidden" r:id="rId12"/>
    <sheet name="Jan MPLH " sheetId="13" state="hidden" r:id="rId13"/>
    <sheet name="Feb MPLH " sheetId="14" state="hidden" r:id="rId14"/>
    <sheet name="sheet" sheetId="15" state="hidden" r:id="rId15"/>
    <sheet name="Sheet3" sheetId="16" r:id="rId16"/>
  </sheets>
  <definedNames/>
  <calcPr fullCalcOnLoad="1"/>
</workbook>
</file>

<file path=xl/sharedStrings.xml><?xml version="1.0" encoding="utf-8"?>
<sst xmlns="http://schemas.openxmlformats.org/spreadsheetml/2006/main" count="1388" uniqueCount="141">
  <si>
    <t>2.  From the work hours, I calculated that 27% did not get benefits, this is reflected in the Total Labor + Bennies formula</t>
  </si>
  <si>
    <t>8.  If Centarl kitchen included, could also add CK to each site they serve instead of being separate</t>
  </si>
  <si>
    <t>High Schools  Production</t>
  </si>
  <si>
    <t>K-8 Schools Production</t>
  </si>
  <si>
    <t>K - 5 Production</t>
  </si>
  <si>
    <t>K - 8 Schools</t>
  </si>
  <si>
    <t>Conte/West Hills:  K-8/   Poly McCabe</t>
  </si>
  <si>
    <t>Other Schools</t>
  </si>
  <si>
    <t>Brennan      K-8</t>
  </si>
  <si>
    <t xml:space="preserve"> </t>
  </si>
  <si>
    <t>Total district labor as a % to revenus</t>
  </si>
  <si>
    <t>9.  Total district labor as a % of revenue</t>
  </si>
  <si>
    <t>Totals</t>
  </si>
  <si>
    <t>7.  Total includes Office/Café Mgrs/Clerical/Truck Driverrs/OT  Longgevity from budget numbers</t>
  </si>
  <si>
    <t>Just kitchen totals</t>
  </si>
  <si>
    <t>MPLH with CK</t>
  </si>
  <si>
    <t>District</t>
  </si>
  <si>
    <t xml:space="preserve">          District</t>
  </si>
  <si>
    <t xml:space="preserve">               MPLH with CK</t>
  </si>
  <si>
    <t>National MPLH for this type &amp; Meal Equ and operation H L</t>
  </si>
  <si>
    <t>L 28  -  H 33</t>
  </si>
  <si>
    <t>L 28  -  H 43</t>
  </si>
  <si>
    <t>L 26  -  H 31</t>
  </si>
  <si>
    <t>L 26-  H 31</t>
  </si>
  <si>
    <t>L 22  -  H 27</t>
  </si>
  <si>
    <t>L 30  -  H 35</t>
  </si>
  <si>
    <t>L 14  -  H 19</t>
  </si>
  <si>
    <t>L 19  -  H 24</t>
  </si>
  <si>
    <t>L 9  -  H 13</t>
  </si>
  <si>
    <t>L 14  -  H 18</t>
  </si>
  <si>
    <t>L 16  -  H 20</t>
  </si>
  <si>
    <t>L 20  -  H 25</t>
  </si>
  <si>
    <t>L 17  -  H 22</t>
  </si>
  <si>
    <t>L 18  -  H 23</t>
  </si>
  <si>
    <t>L 24  -  H 29</t>
  </si>
  <si>
    <t>L 15  -  H 19</t>
  </si>
  <si>
    <t>L 167 -  H 22</t>
  </si>
  <si>
    <t>L 22 -  H 27</t>
  </si>
  <si>
    <t>Labor as a % of Revenue</t>
  </si>
  <si>
    <t>L 10  -  H 14</t>
  </si>
  <si>
    <t>L 18 -  H 23</t>
  </si>
  <si>
    <t>L 28 -  H 33</t>
  </si>
  <si>
    <t>7.  District total includes Office/Café Mgrs/Clerical/Truck Driverrs/OT  Longevity from budget numbers</t>
  </si>
  <si>
    <t>NOTES:  March has the $0.06 figured into column I</t>
  </si>
  <si>
    <t>L 16 -  H 20</t>
  </si>
  <si>
    <r>
      <t xml:space="preserve">MPLH      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Column </t>
    </r>
    <r>
      <rPr>
        <b/>
        <sz val="11"/>
        <color indexed="10"/>
        <rFont val="Calibri"/>
        <family val="2"/>
      </rPr>
      <t>(e)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36"/>
        <rFont val="Calibri"/>
        <family val="2"/>
      </rPr>
      <t>(c)</t>
    </r>
    <r>
      <rPr>
        <sz val="11"/>
        <color indexed="36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Diveded by     </t>
    </r>
    <r>
      <rPr>
        <b/>
        <sz val="11"/>
        <color indexed="8"/>
        <rFont val="Calibri"/>
        <family val="2"/>
      </rPr>
      <t>Column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(f)  </t>
    </r>
    <r>
      <rPr>
        <b/>
        <sz val="11"/>
        <color indexed="36"/>
        <rFont val="Calibri"/>
        <family val="2"/>
      </rPr>
      <t>(d)</t>
    </r>
  </si>
  <si>
    <r>
      <t xml:space="preserve">MPLH      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Column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(e) </t>
    </r>
    <r>
      <rPr>
        <b/>
        <sz val="11"/>
        <color indexed="36"/>
        <rFont val="Calibri"/>
        <family val="2"/>
      </rPr>
      <t xml:space="preserve">(c) </t>
    </r>
    <r>
      <rPr>
        <sz val="11"/>
        <color indexed="8"/>
        <rFont val="Calibri"/>
        <family val="2"/>
      </rPr>
      <t xml:space="preserve">  Diveded by     </t>
    </r>
    <r>
      <rPr>
        <b/>
        <sz val="11"/>
        <color indexed="8"/>
        <rFont val="Calibri"/>
        <family val="2"/>
      </rPr>
      <t>Column</t>
    </r>
    <r>
      <rPr>
        <b/>
        <sz val="11"/>
        <color indexed="10"/>
        <rFont val="Calibri"/>
        <family val="2"/>
      </rPr>
      <t xml:space="preserve"> (f) </t>
    </r>
    <r>
      <rPr>
        <b/>
        <sz val="11"/>
        <color indexed="36"/>
        <rFont val="Calibri"/>
        <family val="2"/>
      </rPr>
      <t xml:space="preserve"> (d)</t>
    </r>
  </si>
  <si>
    <t>Labor  as   a % of Rev</t>
  </si>
  <si>
    <t>Total labor   + Benies  $</t>
  </si>
  <si>
    <t>District Totals</t>
  </si>
  <si>
    <t xml:space="preserve">NOTES:  </t>
  </si>
  <si>
    <t>1.  Only federal revenue was used (NSLP &amp; NSBP), no other revenue sources</t>
  </si>
  <si>
    <t>2.  From the work hours, I calculated that 28% did not get benefits, this is reflected in the Total Labor + Bennies formula</t>
  </si>
  <si>
    <t>3.  I used the more accurate 50% for bennies for 72% of the hours worked also reflected in the formula</t>
  </si>
  <si>
    <r>
      <t xml:space="preserve"> </t>
    </r>
    <r>
      <rPr>
        <b/>
        <sz val="11"/>
        <color indexed="36"/>
        <rFont val="Calibri"/>
        <family val="2"/>
      </rPr>
      <t xml:space="preserve">  (c) </t>
    </r>
    <r>
      <rPr>
        <sz val="11"/>
        <color indexed="8"/>
        <rFont val="Calibri"/>
        <family val="2"/>
      </rPr>
      <t xml:space="preserve">                              Sum of                 </t>
    </r>
    <r>
      <rPr>
        <b/>
        <sz val="11"/>
        <color indexed="21"/>
        <rFont val="Calibri"/>
        <family val="2"/>
      </rPr>
      <t>(a)</t>
    </r>
    <r>
      <rPr>
        <sz val="11"/>
        <color indexed="8"/>
        <rFont val="Calibri"/>
        <family val="2"/>
      </rPr>
      <t xml:space="preserve"> + </t>
    </r>
    <r>
      <rPr>
        <b/>
        <sz val="11"/>
        <color indexed="21"/>
        <rFont val="Calibri"/>
        <family val="2"/>
      </rPr>
      <t xml:space="preserve">(b) </t>
    </r>
    <r>
      <rPr>
        <sz val="11"/>
        <color indexed="8"/>
        <rFont val="Calibri"/>
        <family val="2"/>
      </rPr>
      <t xml:space="preserve">    = total meal Eq</t>
    </r>
  </si>
  <si>
    <r>
      <t xml:space="preserve">    </t>
    </r>
    <r>
      <rPr>
        <b/>
        <sz val="11"/>
        <color indexed="36"/>
        <rFont val="Calibri"/>
        <family val="2"/>
      </rPr>
      <t>(d)</t>
    </r>
    <r>
      <rPr>
        <sz val="11"/>
        <color indexed="8"/>
        <rFont val="Calibri"/>
        <family val="2"/>
      </rPr>
      <t xml:space="preserve">    Total    #     of Labor Hrs</t>
    </r>
  </si>
  <si>
    <r>
      <t xml:space="preserve">Wibur Cross  9-12      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(Prod)</t>
    </r>
  </si>
  <si>
    <t>4.  Production site Brkfst divided by  2, all others dived by 4</t>
  </si>
  <si>
    <t xml:space="preserve">Quinnipiac </t>
  </si>
  <si>
    <r>
      <t>Wibur Cross  9-12/</t>
    </r>
    <r>
      <rPr>
        <b/>
        <sz val="11"/>
        <color indexed="21"/>
        <rFont val="Times New Roman"/>
        <family val="1"/>
      </rPr>
      <t>New Horizon</t>
    </r>
    <r>
      <rPr>
        <sz val="11"/>
        <color indexed="10"/>
        <rFont val="Times New Roman"/>
        <family val="1"/>
      </rPr>
      <t xml:space="preserve"> (Prod)</t>
    </r>
  </si>
  <si>
    <r>
      <t>Hooker k -2/</t>
    </r>
    <r>
      <rPr>
        <b/>
        <sz val="11"/>
        <color indexed="21"/>
        <rFont val="Times New Roman"/>
        <family val="1"/>
      </rPr>
      <t>Hooker Middle</t>
    </r>
  </si>
  <si>
    <r>
      <t>Riverside:    9-12/</t>
    </r>
    <r>
      <rPr>
        <b/>
        <sz val="11"/>
        <color indexed="21"/>
        <rFont val="Times New Roman"/>
        <family val="1"/>
      </rPr>
      <t>DOMUS  6-9</t>
    </r>
  </si>
  <si>
    <r>
      <t xml:space="preserve">Troup School:    K-8   </t>
    </r>
    <r>
      <rPr>
        <b/>
        <sz val="11"/>
        <color indexed="10"/>
        <rFont val="Times New Roman"/>
        <family val="1"/>
      </rPr>
      <t xml:space="preserve"> (Prod)</t>
    </r>
  </si>
  <si>
    <t>Conte/West Hills:    K-8/Poly McCabe</t>
  </si>
  <si>
    <t>Café MGR</t>
  </si>
  <si>
    <t>5.  Sub hours Calculated in MPLH and rate of pay $11.25 also factored in Labor  no Benefits</t>
  </si>
  <si>
    <t>6.  Aide pay at $8.25 hr calculated in Labor no benefits, not Calculated in  MPLH</t>
  </si>
  <si>
    <t>Clinton:    K-8</t>
  </si>
  <si>
    <t>Columbus:    Prek - 8</t>
  </si>
  <si>
    <t>Lincoln Bassett      K-8</t>
  </si>
  <si>
    <t>Microsociety     PreK -8</t>
  </si>
  <si>
    <r>
      <t xml:space="preserve">Truman     K-8    </t>
    </r>
    <r>
      <rPr>
        <b/>
        <sz val="11"/>
        <rFont val="Times New Roman"/>
        <family val="1"/>
      </rPr>
      <t xml:space="preserve"> (</t>
    </r>
    <r>
      <rPr>
        <b/>
        <sz val="11"/>
        <color indexed="10"/>
        <rFont val="Times New Roman"/>
        <family val="1"/>
      </rPr>
      <t>Prod)</t>
    </r>
  </si>
  <si>
    <r>
      <t>Hooker k -2/</t>
    </r>
    <r>
      <rPr>
        <b/>
        <sz val="11"/>
        <color indexed="21"/>
        <rFont val="Times New Roman"/>
        <family val="1"/>
      </rPr>
      <t>Hooker Middle 2-8</t>
    </r>
  </si>
  <si>
    <t>Helene Grant   PreK -K?</t>
  </si>
  <si>
    <t>High Schools</t>
  </si>
  <si>
    <t>K - 5 Schools</t>
  </si>
  <si>
    <t>K-8 Schools</t>
  </si>
  <si>
    <t>K- 8 Schools</t>
  </si>
  <si>
    <t>The resat of the schools</t>
  </si>
  <si>
    <r>
      <t xml:space="preserve">     </t>
    </r>
    <r>
      <rPr>
        <b/>
        <sz val="11"/>
        <color indexed="21"/>
        <rFont val="Calibri"/>
        <family val="2"/>
      </rPr>
      <t>(b)</t>
    </r>
    <r>
      <rPr>
        <sz val="11"/>
        <color indexed="8"/>
        <rFont val="Calibri"/>
        <family val="2"/>
      </rPr>
      <t xml:space="preserve">              #  Brkfst  Diveded</t>
    </r>
    <r>
      <rPr>
        <sz val="11"/>
        <color indexed="10"/>
        <rFont val="Calibri"/>
        <family val="2"/>
      </rPr>
      <t xml:space="preserve"> 4</t>
    </r>
  </si>
  <si>
    <r>
      <t xml:space="preserve">     </t>
    </r>
    <r>
      <rPr>
        <b/>
        <sz val="11"/>
        <color indexed="21"/>
        <rFont val="Calibri"/>
        <family val="2"/>
      </rPr>
      <t>(b)</t>
    </r>
    <r>
      <rPr>
        <sz val="11"/>
        <color indexed="8"/>
        <rFont val="Calibri"/>
        <family val="2"/>
      </rPr>
      <t xml:space="preserve">              #  Brkfst  Diveded </t>
    </r>
    <r>
      <rPr>
        <b/>
        <sz val="11"/>
        <color indexed="10"/>
        <rFont val="Calibri"/>
        <family val="2"/>
      </rPr>
      <t>2/4</t>
    </r>
  </si>
  <si>
    <t>Brennan K8      K-8</t>
  </si>
  <si>
    <t>Office/Sups/Ed/truck drivers/ben/OT/LG</t>
  </si>
  <si>
    <t>92.806.00</t>
  </si>
  <si>
    <t>7.  District total includes Office/Café Mgrs/Clerical/Truck Driverrs/OT  Longgevity from budget numbers</t>
  </si>
  <si>
    <t>School</t>
  </si>
  <si>
    <t>#  of    Brkfst Serv</t>
  </si>
  <si>
    <r>
      <t xml:space="preserve">     </t>
    </r>
    <r>
      <rPr>
        <b/>
        <sz val="11"/>
        <color indexed="21"/>
        <rFont val="Calibri"/>
        <family val="2"/>
      </rPr>
      <t xml:space="preserve">(a) </t>
    </r>
    <r>
      <rPr>
        <sz val="11"/>
        <color indexed="8"/>
        <rFont val="Calibri"/>
        <family val="2"/>
      </rPr>
      <t xml:space="preserve">             #  Lunch Serv</t>
    </r>
  </si>
  <si>
    <r>
      <t xml:space="preserve"> </t>
    </r>
    <r>
      <rPr>
        <b/>
        <sz val="11"/>
        <color indexed="36"/>
        <rFont val="Calibri"/>
        <family val="2"/>
      </rPr>
      <t xml:space="preserve">  (d) </t>
    </r>
    <r>
      <rPr>
        <sz val="11"/>
        <color indexed="8"/>
        <rFont val="Calibri"/>
        <family val="2"/>
      </rPr>
      <t xml:space="preserve">                              Sum of                 </t>
    </r>
    <r>
      <rPr>
        <b/>
        <sz val="11"/>
        <color indexed="21"/>
        <rFont val="Calibri"/>
        <family val="2"/>
      </rPr>
      <t>(a)</t>
    </r>
    <r>
      <rPr>
        <sz val="11"/>
        <color indexed="8"/>
        <rFont val="Calibri"/>
        <family val="2"/>
      </rPr>
      <t xml:space="preserve"> + </t>
    </r>
    <r>
      <rPr>
        <b/>
        <sz val="11"/>
        <color indexed="21"/>
        <rFont val="Calibri"/>
        <family val="2"/>
      </rPr>
      <t xml:space="preserve">(b) </t>
    </r>
    <r>
      <rPr>
        <sz val="11"/>
        <color indexed="8"/>
        <rFont val="Calibri"/>
        <family val="2"/>
      </rPr>
      <t xml:space="preserve">+ </t>
    </r>
    <r>
      <rPr>
        <b/>
        <sz val="11"/>
        <color indexed="21"/>
        <rFont val="Calibri"/>
        <family val="2"/>
      </rPr>
      <t>(c)</t>
    </r>
    <r>
      <rPr>
        <sz val="11"/>
        <color indexed="8"/>
        <rFont val="Calibri"/>
        <family val="2"/>
      </rPr>
      <t xml:space="preserve"> </t>
    </r>
  </si>
  <si>
    <r>
      <t xml:space="preserve">    </t>
    </r>
    <r>
      <rPr>
        <b/>
        <sz val="11"/>
        <color indexed="36"/>
        <rFont val="Calibri"/>
        <family val="2"/>
      </rPr>
      <t>(e)</t>
    </r>
    <r>
      <rPr>
        <sz val="11"/>
        <color indexed="8"/>
        <rFont val="Calibri"/>
        <family val="2"/>
      </rPr>
      <t xml:space="preserve"> Total    #     of Labor Hrs</t>
    </r>
  </si>
  <si>
    <t xml:space="preserve">Clinton: </t>
  </si>
  <si>
    <t xml:space="preserve">Columbus: </t>
  </si>
  <si>
    <t>Lincoln Bassett</t>
  </si>
  <si>
    <t xml:space="preserve">Truman: </t>
  </si>
  <si>
    <r>
      <t xml:space="preserve">     </t>
    </r>
    <r>
      <rPr>
        <b/>
        <sz val="11"/>
        <color indexed="21"/>
        <rFont val="Calibri"/>
        <family val="2"/>
      </rPr>
      <t>(b)</t>
    </r>
    <r>
      <rPr>
        <sz val="11"/>
        <color indexed="8"/>
        <rFont val="Calibri"/>
        <family val="2"/>
      </rPr>
      <t xml:space="preserve">              #  Brkfst  Diveded </t>
    </r>
    <r>
      <rPr>
        <sz val="11"/>
        <color indexed="10"/>
        <rFont val="Calibri"/>
        <family val="2"/>
      </rPr>
      <t>4</t>
    </r>
  </si>
  <si>
    <r>
      <t xml:space="preserve"> </t>
    </r>
    <r>
      <rPr>
        <b/>
        <sz val="11"/>
        <color indexed="36"/>
        <rFont val="Calibri"/>
        <family val="2"/>
      </rPr>
      <t xml:space="preserve">  (c) </t>
    </r>
    <r>
      <rPr>
        <sz val="11"/>
        <color indexed="8"/>
        <rFont val="Calibri"/>
        <family val="2"/>
      </rPr>
      <t xml:space="preserve">                              Sum of                 </t>
    </r>
    <r>
      <rPr>
        <b/>
        <sz val="11"/>
        <color indexed="21"/>
        <rFont val="Calibri"/>
        <family val="2"/>
      </rPr>
      <t>(a)</t>
    </r>
    <r>
      <rPr>
        <sz val="11"/>
        <color indexed="8"/>
        <rFont val="Calibri"/>
        <family val="2"/>
      </rPr>
      <t xml:space="preserve"> + </t>
    </r>
    <r>
      <rPr>
        <b/>
        <sz val="11"/>
        <color indexed="21"/>
        <rFont val="Calibri"/>
        <family val="2"/>
      </rPr>
      <t xml:space="preserve">(b) </t>
    </r>
    <r>
      <rPr>
        <sz val="11"/>
        <color indexed="8"/>
        <rFont val="Calibri"/>
        <family val="2"/>
      </rPr>
      <t xml:space="preserve"> </t>
    </r>
  </si>
  <si>
    <r>
      <t xml:space="preserve">    </t>
    </r>
    <r>
      <rPr>
        <b/>
        <sz val="11"/>
        <color indexed="36"/>
        <rFont val="Calibri"/>
        <family val="2"/>
      </rPr>
      <t>(d)</t>
    </r>
    <r>
      <rPr>
        <sz val="11"/>
        <color indexed="8"/>
        <rFont val="Calibri"/>
        <family val="2"/>
      </rPr>
      <t xml:space="preserve">             Total    #     of Labor Hrs</t>
    </r>
  </si>
  <si>
    <t>ESUMS 6-8</t>
  </si>
  <si>
    <t>Strong School:   K-2</t>
  </si>
  <si>
    <t>Mauro Sheridan  K-5</t>
  </si>
  <si>
    <t>Wexler Grant   K -8</t>
  </si>
  <si>
    <t>Wibur Cross  9-12</t>
  </si>
  <si>
    <t>Ross Woodward  K-5</t>
  </si>
  <si>
    <t>Hooker Elem  K-2</t>
  </si>
  <si>
    <t>Barnard:    K-5</t>
  </si>
  <si>
    <t>Beecher:    K-8</t>
  </si>
  <si>
    <t>Benjamin Jepson:   K-5</t>
  </si>
  <si>
    <t>Betsy Ross:   K-5</t>
  </si>
  <si>
    <t>Bishop Woods   K-8</t>
  </si>
  <si>
    <t>Celentano:    K-5</t>
  </si>
  <si>
    <t>Clarence Rogers:   K-8</t>
  </si>
  <si>
    <t>Clemente School:    K-8</t>
  </si>
  <si>
    <t>Conte/West Hills:    K-8</t>
  </si>
  <si>
    <t>Davis:    K-8</t>
  </si>
  <si>
    <t>DOMUS:   6-8</t>
  </si>
  <si>
    <t>East Rock:   K-5</t>
  </si>
  <si>
    <t>Edgewood     K-8</t>
  </si>
  <si>
    <t xml:space="preserve">Helene Grant   </t>
  </si>
  <si>
    <t>Hill Central    K-8</t>
  </si>
  <si>
    <t>John C. Daniels:    K-5</t>
  </si>
  <si>
    <t>John S. Martinez:     K-8</t>
  </si>
  <si>
    <t>Brenan K8      K-8</t>
  </si>
  <si>
    <t xml:space="preserve">Microsociety    </t>
  </si>
  <si>
    <t>Riverside:    9-12</t>
  </si>
  <si>
    <t>Troup School:    K-8</t>
  </si>
  <si>
    <r>
      <t xml:space="preserve">Fair Haven    K-8     </t>
    </r>
    <r>
      <rPr>
        <sz val="11"/>
        <color indexed="10"/>
        <rFont val="Times New Roman"/>
        <family val="1"/>
      </rPr>
      <t>(Prod)</t>
    </r>
  </si>
  <si>
    <r>
      <t xml:space="preserve">Hillhouse:      9-12        </t>
    </r>
    <r>
      <rPr>
        <sz val="11"/>
        <color indexed="10"/>
        <rFont val="Times New Roman"/>
        <family val="1"/>
      </rPr>
      <t>(Prod)</t>
    </r>
  </si>
  <si>
    <r>
      <t xml:space="preserve">King/Robinson:    K-5     </t>
    </r>
    <r>
      <rPr>
        <sz val="11"/>
        <color indexed="10"/>
        <rFont val="Times New Roman"/>
        <family val="1"/>
      </rPr>
      <t xml:space="preserve"> (Prod)</t>
    </r>
  </si>
  <si>
    <r>
      <t xml:space="preserve">Nathan Hale:     K-5    </t>
    </r>
    <r>
      <rPr>
        <sz val="11"/>
        <color indexed="10"/>
        <rFont val="Times New Roman"/>
        <family val="1"/>
      </rPr>
      <t xml:space="preserve"> (Prod)</t>
    </r>
  </si>
  <si>
    <r>
      <t xml:space="preserve">New Haven Acad   9-12 </t>
    </r>
    <r>
      <rPr>
        <sz val="11"/>
        <color indexed="10"/>
        <rFont val="Times New Roman"/>
        <family val="1"/>
      </rPr>
      <t xml:space="preserve">(Prod) </t>
    </r>
    <r>
      <rPr>
        <b/>
        <sz val="11"/>
        <color indexed="40"/>
        <rFont val="Times New Roman"/>
        <family val="1"/>
      </rPr>
      <t xml:space="preserve">    NP2</t>
    </r>
  </si>
  <si>
    <r>
      <t xml:space="preserve">Polly McCabe:    9-12                    </t>
    </r>
    <r>
      <rPr>
        <b/>
        <sz val="11"/>
        <color indexed="40"/>
        <rFont val="Times New Roman"/>
        <family val="1"/>
      </rPr>
      <t>NP2</t>
    </r>
  </si>
  <si>
    <r>
      <t xml:space="preserve">Sound:     9-12                               </t>
    </r>
    <r>
      <rPr>
        <b/>
        <sz val="11"/>
        <color indexed="40"/>
        <rFont val="Times New Roman"/>
        <family val="1"/>
      </rPr>
      <t>NP2</t>
    </r>
  </si>
  <si>
    <r>
      <t xml:space="preserve">HSC             9-12    </t>
    </r>
    <r>
      <rPr>
        <sz val="11"/>
        <color indexed="10"/>
        <rFont val="Times New Roman"/>
        <family val="1"/>
      </rPr>
      <t xml:space="preserve"> (Prod)           </t>
    </r>
    <r>
      <rPr>
        <b/>
        <sz val="11"/>
        <color indexed="40"/>
        <rFont val="Times New Roman"/>
        <family val="1"/>
      </rPr>
      <t>NP2</t>
    </r>
  </si>
  <si>
    <r>
      <t xml:space="preserve">Hill Regional      9-12    </t>
    </r>
    <r>
      <rPr>
        <sz val="11"/>
        <color indexed="10"/>
        <rFont val="Times New Roman"/>
        <family val="1"/>
      </rPr>
      <t xml:space="preserve"> (Prod)    </t>
    </r>
    <r>
      <rPr>
        <b/>
        <sz val="11"/>
        <color indexed="40"/>
        <rFont val="Times New Roman"/>
        <family val="1"/>
      </rPr>
      <t xml:space="preserve">  NP2</t>
    </r>
  </si>
  <si>
    <r>
      <t xml:space="preserve">Hyde Leadership Acad   9-12        </t>
    </r>
    <r>
      <rPr>
        <b/>
        <sz val="11"/>
        <color indexed="40"/>
        <rFont val="Times New Roman"/>
        <family val="1"/>
      </rPr>
      <t>NP2</t>
    </r>
  </si>
  <si>
    <r>
      <t xml:space="preserve">Metro BusAcad   9-12    </t>
    </r>
    <r>
      <rPr>
        <sz val="11"/>
        <color indexed="10"/>
        <rFont val="Times New Roman"/>
        <family val="1"/>
      </rPr>
      <t xml:space="preserve">(Prod)      </t>
    </r>
    <r>
      <rPr>
        <b/>
        <sz val="11"/>
        <color indexed="40"/>
        <rFont val="Times New Roman"/>
        <family val="1"/>
      </rPr>
      <t>NP2</t>
    </r>
  </si>
  <si>
    <r>
      <t xml:space="preserve">Co-Op   9-12      </t>
    </r>
    <r>
      <rPr>
        <sz val="11"/>
        <color indexed="10"/>
        <rFont val="Times New Roman"/>
        <family val="1"/>
      </rPr>
      <t xml:space="preserve"> (Prod)             </t>
    </r>
    <r>
      <rPr>
        <b/>
        <sz val="11"/>
        <color indexed="10"/>
        <rFont val="Times New Roman"/>
        <family val="1"/>
      </rPr>
      <t xml:space="preserve">   </t>
    </r>
    <r>
      <rPr>
        <b/>
        <sz val="11"/>
        <color indexed="40"/>
        <rFont val="Times New Roman"/>
        <family val="1"/>
      </rPr>
      <t>NP2</t>
    </r>
  </si>
  <si>
    <t>Central Kitchen</t>
  </si>
  <si>
    <r>
      <t xml:space="preserve">TOTALS             </t>
    </r>
    <r>
      <rPr>
        <b/>
        <sz val="11"/>
        <rFont val="Calibri"/>
        <family val="2"/>
      </rPr>
      <t xml:space="preserve">MPLH </t>
    </r>
    <r>
      <rPr>
        <sz val="11"/>
        <color indexed="8"/>
        <rFont val="Calibri"/>
        <family val="2"/>
      </rPr>
      <t>Total is the Average</t>
    </r>
  </si>
  <si>
    <r>
      <t xml:space="preserve">TOTALS            </t>
    </r>
    <r>
      <rPr>
        <b/>
        <sz val="11"/>
        <rFont val="Calibri"/>
        <family val="2"/>
      </rPr>
      <t xml:space="preserve">MPLH </t>
    </r>
    <r>
      <rPr>
        <sz val="11"/>
        <color indexed="8"/>
        <rFont val="Calibri"/>
        <family val="2"/>
      </rPr>
      <t>Total is the Average</t>
    </r>
  </si>
  <si>
    <r>
      <t xml:space="preserve">     </t>
    </r>
    <r>
      <rPr>
        <b/>
        <sz val="11"/>
        <color indexed="21"/>
        <rFont val="Calibri"/>
        <family val="2"/>
      </rPr>
      <t>(b)</t>
    </r>
    <r>
      <rPr>
        <sz val="11"/>
        <color indexed="8"/>
        <rFont val="Calibri"/>
        <family val="2"/>
      </rPr>
      <t xml:space="preserve">              #  Brkfst  Diveded </t>
    </r>
    <r>
      <rPr>
        <b/>
        <sz val="11"/>
        <color indexed="10"/>
        <rFont val="Calibri"/>
        <family val="2"/>
      </rPr>
      <t>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</si>
</sst>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&quot;$&quot;* #,##0_);_(&quot;$&quot;* \(#,##0\);_(&quot;$&quot;* &quot;-&quot;??_);_(@_)"/>
    <numFmt numFmtId="169" formatCode="#,##0.0_);\(#,##0.0\)"/>
    <numFmt numFmtId="170" formatCode="_(&quot;$&quot;* #,##0.0_);_(&quot;$&quot;* \(#,##0.0\);_(&quot;$&quot;* &quot;-&quot;??_);_(@_)"/>
    <numFmt numFmtId="171" formatCode="_(&quot;$&quot;* #,##0.00_);_(&quot;$&quot;* \(#,##0.00\);_(&quot;$&quot;* &quot;-&quot;??_);_(@_)"/>
  </numFmts>
  <fonts count="24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1"/>
      <color indexed="3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1"/>
      <color indexed="21"/>
      <name val="Times New Roman"/>
      <family val="1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6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/>
    </xf>
    <xf numFmtId="164" fontId="0" fillId="0" borderId="1" xfId="15" applyNumberFormat="1" applyFont="1" applyBorder="1" applyAlignment="1">
      <alignment/>
    </xf>
    <xf numFmtId="0" fontId="11" fillId="2" borderId="1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43" fontId="0" fillId="0" borderId="1" xfId="15" applyFont="1" applyBorder="1" applyAlignment="1">
      <alignment/>
    </xf>
    <xf numFmtId="165" fontId="0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right" vertic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right" vertical="center"/>
    </xf>
    <xf numFmtId="1" fontId="0" fillId="4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167" fontId="0" fillId="0" borderId="1" xfId="21" applyNumberFormat="1" applyFont="1" applyBorder="1" applyAlignment="1">
      <alignment/>
    </xf>
    <xf numFmtId="168" fontId="0" fillId="0" borderId="1" xfId="17" applyNumberFormat="1" applyFont="1" applyBorder="1" applyAlignment="1">
      <alignment/>
    </xf>
    <xf numFmtId="0" fontId="10" fillId="2" borderId="4" xfId="0" applyFont="1" applyFill="1" applyBorder="1" applyAlignment="1">
      <alignment vertical="center" wrapText="1"/>
    </xf>
    <xf numFmtId="0" fontId="0" fillId="0" borderId="4" xfId="0" applyFill="1" applyBorder="1" applyAlignment="1">
      <alignment/>
    </xf>
    <xf numFmtId="164" fontId="0" fillId="0" borderId="4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/>
    </xf>
    <xf numFmtId="166" fontId="0" fillId="0" borderId="4" xfId="0" applyNumberFormat="1" applyFont="1" applyBorder="1" applyAlignment="1">
      <alignment horizontal="center"/>
    </xf>
    <xf numFmtId="168" fontId="0" fillId="0" borderId="4" xfId="17" applyNumberFormat="1" applyFont="1" applyBorder="1" applyAlignment="1">
      <alignment/>
    </xf>
    <xf numFmtId="167" fontId="0" fillId="0" borderId="4" xfId="21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10" fillId="2" borderId="5" xfId="0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8" fontId="0" fillId="0" borderId="5" xfId="17" applyNumberFormat="1" applyFont="1" applyBorder="1" applyAlignment="1">
      <alignment/>
    </xf>
    <xf numFmtId="167" fontId="0" fillId="0" borderId="5" xfId="21" applyNumberFormat="1" applyFont="1" applyBorder="1" applyAlignment="1">
      <alignment/>
    </xf>
    <xf numFmtId="0" fontId="8" fillId="0" borderId="3" xfId="0" applyFont="1" applyBorder="1" applyAlignment="1">
      <alignment/>
    </xf>
    <xf numFmtId="165" fontId="8" fillId="0" borderId="3" xfId="15" applyNumberFormat="1" applyFont="1" applyBorder="1" applyAlignment="1">
      <alignment/>
    </xf>
    <xf numFmtId="43" fontId="8" fillId="0" borderId="3" xfId="15" applyFont="1" applyBorder="1" applyAlignment="1">
      <alignment/>
    </xf>
    <xf numFmtId="164" fontId="8" fillId="0" borderId="3" xfId="0" applyNumberFormat="1" applyFont="1" applyBorder="1" applyAlignment="1">
      <alignment/>
    </xf>
    <xf numFmtId="166" fontId="8" fillId="0" borderId="3" xfId="0" applyNumberFormat="1" applyFont="1" applyBorder="1" applyAlignment="1">
      <alignment horizontal="center"/>
    </xf>
    <xf numFmtId="168" fontId="8" fillId="0" borderId="3" xfId="17" applyNumberFormat="1" applyFont="1" applyBorder="1" applyAlignment="1">
      <alignment/>
    </xf>
    <xf numFmtId="167" fontId="8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 wrapText="1"/>
    </xf>
    <xf numFmtId="43" fontId="0" fillId="0" borderId="0" xfId="0" applyNumberFormat="1" applyAlignment="1">
      <alignment/>
    </xf>
    <xf numFmtId="167" fontId="0" fillId="0" borderId="0" xfId="21" applyNumberFormat="1" applyFont="1" applyAlignment="1">
      <alignment/>
    </xf>
    <xf numFmtId="0" fontId="8" fillId="0" borderId="1" xfId="0" applyFont="1" applyBorder="1" applyAlignment="1">
      <alignment horizontal="center" wrapText="1"/>
    </xf>
    <xf numFmtId="168" fontId="0" fillId="0" borderId="0" xfId="17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6" xfId="17" applyNumberFormat="1" applyFont="1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64" fontId="8" fillId="0" borderId="5" xfId="15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7" fontId="8" fillId="0" borderId="7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8" fontId="8" fillId="0" borderId="1" xfId="17" applyNumberFormat="1" applyFont="1" applyBorder="1" applyAlignment="1">
      <alignment horizontal="right"/>
    </xf>
    <xf numFmtId="168" fontId="8" fillId="0" borderId="8" xfId="17" applyNumberFormat="1" applyFont="1" applyBorder="1" applyAlignment="1">
      <alignment/>
    </xf>
    <xf numFmtId="168" fontId="8" fillId="0" borderId="8" xfId="0" applyNumberFormat="1" applyFont="1" applyBorder="1" applyAlignment="1">
      <alignment/>
    </xf>
    <xf numFmtId="0" fontId="8" fillId="0" borderId="8" xfId="0" applyFont="1" applyBorder="1" applyAlignment="1">
      <alignment/>
    </xf>
    <xf numFmtId="166" fontId="8" fillId="0" borderId="8" xfId="0" applyNumberFormat="1" applyFont="1" applyBorder="1" applyAlignment="1">
      <alignment horizontal="center"/>
    </xf>
    <xf numFmtId="167" fontId="8" fillId="0" borderId="8" xfId="21" applyNumberFormat="1" applyFont="1" applyBorder="1" applyAlignment="1">
      <alignment/>
    </xf>
    <xf numFmtId="0" fontId="0" fillId="0" borderId="3" xfId="0" applyFill="1" applyBorder="1" applyAlignment="1">
      <alignment horizontal="center" wrapText="1"/>
    </xf>
    <xf numFmtId="164" fontId="0" fillId="0" borderId="1" xfId="15" applyNumberFormat="1" applyFont="1" applyFill="1" applyBorder="1" applyAlignment="1">
      <alignment/>
    </xf>
    <xf numFmtId="0" fontId="10" fillId="0" borderId="4" xfId="0" applyFont="1" applyFill="1" applyBorder="1" applyAlignment="1">
      <alignment vertical="center"/>
    </xf>
    <xf numFmtId="165" fontId="0" fillId="0" borderId="1" xfId="0" applyNumberFormat="1" applyFont="1" applyBorder="1" applyAlignment="1">
      <alignment/>
    </xf>
    <xf numFmtId="167" fontId="0" fillId="0" borderId="9" xfId="21" applyNumberFormat="1" applyFont="1" applyBorder="1" applyAlignment="1">
      <alignment/>
    </xf>
    <xf numFmtId="167" fontId="8" fillId="0" borderId="10" xfId="21" applyNumberFormat="1" applyFont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165" fontId="0" fillId="0" borderId="1" xfId="15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4" xfId="0" applyNumberFormat="1" applyFont="1" applyFill="1" applyBorder="1" applyAlignment="1">
      <alignment horizontal="center"/>
    </xf>
    <xf numFmtId="164" fontId="0" fillId="0" borderId="1" xfId="15" applyNumberFormat="1" applyFont="1" applyFill="1" applyBorder="1" applyAlignment="1">
      <alignment horizontal="center"/>
    </xf>
    <xf numFmtId="167" fontId="0" fillId="0" borderId="1" xfId="21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7" fontId="0" fillId="0" borderId="4" xfId="21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165" fontId="0" fillId="0" borderId="1" xfId="15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68" fontId="0" fillId="0" borderId="1" xfId="17" applyNumberFormat="1" applyFont="1" applyFill="1" applyBorder="1" applyAlignment="1">
      <alignment horizontal="right"/>
    </xf>
    <xf numFmtId="43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8" fontId="0" fillId="0" borderId="1" xfId="17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167" fontId="0" fillId="0" borderId="12" xfId="21" applyNumberFormat="1" applyFont="1" applyFill="1" applyBorder="1" applyAlignment="1">
      <alignment/>
    </xf>
    <xf numFmtId="167" fontId="0" fillId="0" borderId="9" xfId="21" applyNumberFormat="1" applyFont="1" applyFill="1" applyBorder="1" applyAlignment="1">
      <alignment/>
    </xf>
    <xf numFmtId="165" fontId="8" fillId="0" borderId="5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 horizontal="center"/>
    </xf>
    <xf numFmtId="167" fontId="8" fillId="0" borderId="13" xfId="0" applyNumberFormat="1" applyFont="1" applyFill="1" applyBorder="1" applyAlignment="1">
      <alignment/>
    </xf>
    <xf numFmtId="168" fontId="0" fillId="0" borderId="1" xfId="17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164" fontId="8" fillId="0" borderId="1" xfId="15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8" fontId="8" fillId="0" borderId="1" xfId="0" applyNumberFormat="1" applyFont="1" applyBorder="1" applyAlignment="1">
      <alignment/>
    </xf>
    <xf numFmtId="0" fontId="0" fillId="0" borderId="14" xfId="0" applyBorder="1" applyAlignment="1">
      <alignment/>
    </xf>
    <xf numFmtId="169" fontId="0" fillId="0" borderId="1" xfId="15" applyNumberFormat="1" applyFont="1" applyFill="1" applyBorder="1" applyAlignment="1">
      <alignment horizontal="center"/>
    </xf>
    <xf numFmtId="2" fontId="0" fillId="0" borderId="1" xfId="15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15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6" fontId="0" fillId="0" borderId="1" xfId="15" applyNumberFormat="1" applyFont="1" applyBorder="1" applyAlignment="1">
      <alignment horizontal="center"/>
    </xf>
    <xf numFmtId="166" fontId="0" fillId="0" borderId="1" xfId="15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8" fillId="0" borderId="1" xfId="15" applyNumberFormat="1" applyFont="1" applyFill="1" applyBorder="1" applyAlignment="1">
      <alignment/>
    </xf>
    <xf numFmtId="166" fontId="0" fillId="0" borderId="4" xfId="15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66" fontId="8" fillId="0" borderId="5" xfId="15" applyNumberFormat="1" applyFont="1" applyFill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8" xfId="17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9" fontId="0" fillId="0" borderId="4" xfId="15" applyNumberFormat="1" applyFont="1" applyFill="1" applyBorder="1" applyAlignment="1">
      <alignment horizontal="center"/>
    </xf>
    <xf numFmtId="44" fontId="0" fillId="0" borderId="6" xfId="17" applyNumberFormat="1" applyFont="1" applyFill="1" applyBorder="1" applyAlignment="1">
      <alignment horizontal="right"/>
    </xf>
    <xf numFmtId="44" fontId="8" fillId="0" borderId="1" xfId="17" applyNumberFormat="1" applyFont="1" applyFill="1" applyBorder="1" applyAlignment="1">
      <alignment horizontal="right"/>
    </xf>
    <xf numFmtId="44" fontId="8" fillId="0" borderId="8" xfId="0" applyNumberFormat="1" applyFont="1" applyBorder="1" applyAlignment="1">
      <alignment/>
    </xf>
    <xf numFmtId="44" fontId="0" fillId="0" borderId="4" xfId="17" applyNumberFormat="1" applyFont="1" applyFill="1" applyBorder="1" applyAlignment="1">
      <alignment/>
    </xf>
    <xf numFmtId="0" fontId="0" fillId="0" borderId="3" xfId="0" applyFont="1" applyBorder="1" applyAlignment="1">
      <alignment horizontal="left" wrapText="1"/>
    </xf>
    <xf numFmtId="1" fontId="0" fillId="0" borderId="4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3" fontId="8" fillId="0" borderId="5" xfId="15" applyFont="1" applyFill="1" applyBorder="1" applyAlignment="1">
      <alignment horizontal="center"/>
    </xf>
    <xf numFmtId="164" fontId="8" fillId="0" borderId="5" xfId="15" applyNumberFormat="1" applyFont="1" applyFill="1" applyBorder="1" applyAlignment="1">
      <alignment horizontal="center"/>
    </xf>
    <xf numFmtId="164" fontId="8" fillId="0" borderId="8" xfId="15" applyNumberFormat="1" applyFont="1" applyBorder="1" applyAlignment="1">
      <alignment horizontal="center"/>
    </xf>
    <xf numFmtId="2" fontId="8" fillId="0" borderId="5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43" fontId="0" fillId="0" borderId="4" xfId="15" applyNumberFormat="1" applyFont="1" applyFill="1" applyBorder="1" applyAlignment="1">
      <alignment/>
    </xf>
    <xf numFmtId="43" fontId="0" fillId="0" borderId="1" xfId="15" applyNumberFormat="1" applyFont="1" applyFill="1" applyBorder="1" applyAlignment="1">
      <alignment/>
    </xf>
    <xf numFmtId="43" fontId="18" fillId="0" borderId="1" xfId="15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top" wrapText="1"/>
    </xf>
    <xf numFmtId="0" fontId="4" fillId="5" borderId="1" xfId="0" applyFont="1" applyFill="1" applyBorder="1" applyAlignment="1">
      <alignment/>
    </xf>
    <xf numFmtId="167" fontId="0" fillId="5" borderId="1" xfId="21" applyNumberFormat="1" applyFont="1" applyFill="1" applyBorder="1" applyAlignment="1">
      <alignment/>
    </xf>
    <xf numFmtId="166" fontId="8" fillId="0" borderId="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vertical="center" wrapText="1"/>
    </xf>
    <xf numFmtId="4" fontId="0" fillId="0" borderId="0" xfId="0" applyNumberFormat="1" applyBorder="1" applyAlignment="1">
      <alignment/>
    </xf>
    <xf numFmtId="167" fontId="0" fillId="5" borderId="0" xfId="21" applyNumberFormat="1" applyFont="1" applyFill="1" applyAlignment="1">
      <alignment/>
    </xf>
    <xf numFmtId="2" fontId="18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67" fontId="19" fillId="0" borderId="9" xfId="21" applyNumberFormat="1" applyFont="1" applyBorder="1" applyAlignment="1">
      <alignment/>
    </xf>
    <xf numFmtId="167" fontId="8" fillId="5" borderId="16" xfId="21" applyNumberFormat="1" applyFont="1" applyFill="1" applyBorder="1" applyAlignment="1">
      <alignment/>
    </xf>
    <xf numFmtId="167" fontId="0" fillId="0" borderId="2" xfId="21" applyNumberFormat="1" applyFont="1" applyFill="1" applyBorder="1" applyAlignment="1">
      <alignment/>
    </xf>
    <xf numFmtId="10" fontId="5" fillId="0" borderId="17" xfId="21" applyNumberFormat="1" applyFont="1" applyFill="1" applyBorder="1" applyAlignment="1">
      <alignment/>
    </xf>
    <xf numFmtId="167" fontId="20" fillId="0" borderId="4" xfId="21" applyNumberFormat="1" applyFont="1" applyFill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8" fillId="0" borderId="5" xfId="17" applyNumberFormat="1" applyFont="1" applyFill="1" applyBorder="1" applyAlignment="1">
      <alignment horizontal="right"/>
    </xf>
    <xf numFmtId="43" fontId="8" fillId="0" borderId="9" xfId="15" applyFont="1" applyFill="1" applyBorder="1" applyAlignment="1">
      <alignment horizontal="right"/>
    </xf>
    <xf numFmtId="43" fontId="8" fillId="0" borderId="8" xfId="15" applyFont="1" applyBorder="1" applyAlignment="1">
      <alignment/>
    </xf>
    <xf numFmtId="168" fontId="8" fillId="0" borderId="8" xfId="17" applyNumberFormat="1" applyFont="1" applyBorder="1" applyAlignment="1">
      <alignment horizontal="center"/>
    </xf>
    <xf numFmtId="44" fontId="8" fillId="5" borderId="8" xfId="17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168" fontId="0" fillId="0" borderId="0" xfId="17" applyNumberFormat="1" applyFont="1" applyFill="1" applyBorder="1" applyAlignment="1">
      <alignment horizontal="right"/>
    </xf>
    <xf numFmtId="167" fontId="0" fillId="0" borderId="0" xfId="21" applyNumberFormat="1" applyFont="1" applyBorder="1" applyAlignment="1">
      <alignment/>
    </xf>
    <xf numFmtId="166" fontId="0" fillId="0" borderId="5" xfId="0" applyNumberFormat="1" applyFont="1" applyFill="1" applyBorder="1" applyAlignment="1">
      <alignment horizontal="center"/>
    </xf>
    <xf numFmtId="44" fontId="0" fillId="0" borderId="18" xfId="17" applyNumberFormat="1" applyFont="1" applyFill="1" applyBorder="1" applyAlignment="1">
      <alignment horizontal="right"/>
    </xf>
    <xf numFmtId="2" fontId="0" fillId="0" borderId="4" xfId="15" applyNumberFormat="1" applyFont="1" applyFill="1" applyBorder="1" applyAlignment="1">
      <alignment/>
    </xf>
    <xf numFmtId="168" fontId="0" fillId="0" borderId="4" xfId="17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169" fontId="0" fillId="0" borderId="5" xfId="15" applyNumberFormat="1" applyFont="1" applyFill="1" applyBorder="1" applyAlignment="1">
      <alignment horizontal="center"/>
    </xf>
    <xf numFmtId="169" fontId="0" fillId="0" borderId="2" xfId="15" applyNumberFormat="1" applyFont="1" applyFill="1" applyBorder="1" applyAlignment="1">
      <alignment horizontal="center"/>
    </xf>
    <xf numFmtId="43" fontId="0" fillId="0" borderId="5" xfId="15" applyNumberFormat="1" applyFont="1" applyFill="1" applyBorder="1" applyAlignment="1">
      <alignment/>
    </xf>
    <xf numFmtId="0" fontId="11" fillId="0" borderId="4" xfId="0" applyFont="1" applyFill="1" applyBorder="1" applyAlignment="1">
      <alignment horizontal="center" vertical="center" wrapText="1"/>
    </xf>
    <xf numFmtId="44" fontId="0" fillId="0" borderId="1" xfId="17" applyNumberFormat="1" applyFont="1" applyFill="1" applyBorder="1" applyAlignment="1">
      <alignment horizontal="right"/>
    </xf>
    <xf numFmtId="165" fontId="8" fillId="0" borderId="5" xfId="15" applyNumberFormat="1" applyFont="1" applyFill="1" applyBorder="1" applyAlignment="1">
      <alignment horizontal="center"/>
    </xf>
    <xf numFmtId="170" fontId="8" fillId="0" borderId="8" xfId="17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4" fontId="0" fillId="0" borderId="1" xfId="17" applyFont="1" applyBorder="1" applyAlignment="1">
      <alignment/>
    </xf>
    <xf numFmtId="43" fontId="8" fillId="0" borderId="5" xfId="15" applyFont="1" applyFill="1" applyBorder="1" applyAlignment="1">
      <alignment/>
    </xf>
    <xf numFmtId="43" fontId="8" fillId="0" borderId="5" xfId="15" applyFont="1" applyFill="1" applyBorder="1" applyAlignment="1">
      <alignment horizontal="right"/>
    </xf>
    <xf numFmtId="43" fontId="0" fillId="0" borderId="0" xfId="15" applyFont="1" applyBorder="1" applyAlignment="1">
      <alignment/>
    </xf>
    <xf numFmtId="0" fontId="0" fillId="0" borderId="3" xfId="0" applyFill="1" applyBorder="1" applyAlignment="1">
      <alignment horizontal="center" vertical="center" wrapText="1"/>
    </xf>
    <xf numFmtId="43" fontId="18" fillId="0" borderId="1" xfId="15" applyFont="1" applyFill="1" applyBorder="1" applyAlignment="1">
      <alignment horizontal="center"/>
    </xf>
    <xf numFmtId="9" fontId="19" fillId="0" borderId="1" xfId="21" applyNumberFormat="1" applyFont="1" applyBorder="1" applyAlignment="1">
      <alignment/>
    </xf>
    <xf numFmtId="166" fontId="8" fillId="0" borderId="17" xfId="21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6" fontId="8" fillId="0" borderId="17" xfId="21" applyNumberFormat="1" applyFont="1" applyBorder="1" applyAlignment="1">
      <alignment horizontal="center"/>
    </xf>
    <xf numFmtId="44" fontId="8" fillId="0" borderId="9" xfId="17" applyFont="1" applyFill="1" applyBorder="1" applyAlignment="1">
      <alignment horizontal="right"/>
    </xf>
    <xf numFmtId="44" fontId="8" fillId="0" borderId="8" xfId="17" applyFont="1" applyBorder="1" applyAlignment="1">
      <alignment/>
    </xf>
    <xf numFmtId="44" fontId="8" fillId="0" borderId="5" xfId="17" applyFont="1" applyFill="1" applyBorder="1" applyAlignment="1">
      <alignment horizontal="right"/>
    </xf>
    <xf numFmtId="44" fontId="0" fillId="0" borderId="4" xfId="17" applyNumberFormat="1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44" fontId="8" fillId="0" borderId="2" xfId="17" applyFont="1" applyFill="1" applyBorder="1" applyAlignment="1">
      <alignment horizontal="right"/>
    </xf>
    <xf numFmtId="44" fontId="8" fillId="0" borderId="2" xfId="17" applyFont="1" applyBorder="1" applyAlignment="1">
      <alignment/>
    </xf>
    <xf numFmtId="0" fontId="0" fillId="0" borderId="3" xfId="0" applyBorder="1" applyAlignment="1">
      <alignment vertical="top" wrapText="1"/>
    </xf>
    <xf numFmtId="44" fontId="8" fillId="0" borderId="8" xfId="17" applyFont="1" applyFill="1" applyBorder="1" applyAlignment="1">
      <alignment horizontal="left"/>
    </xf>
    <xf numFmtId="43" fontId="0" fillId="0" borderId="4" xfId="15" applyFont="1" applyFill="1" applyBorder="1" applyAlignment="1">
      <alignment horizontal="center"/>
    </xf>
    <xf numFmtId="0" fontId="10" fillId="0" borderId="3" xfId="0" applyFont="1" applyFill="1" applyBorder="1" applyAlignment="1">
      <alignment vertical="center" wrapText="1"/>
    </xf>
    <xf numFmtId="1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 horizontal="center"/>
    </xf>
    <xf numFmtId="166" fontId="0" fillId="0" borderId="3" xfId="15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3" fontId="0" fillId="0" borderId="3" xfId="15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4" fontId="0" fillId="0" borderId="3" xfId="17" applyNumberFormat="1" applyFont="1" applyFill="1" applyBorder="1" applyAlignment="1">
      <alignment horizontal="right"/>
    </xf>
    <xf numFmtId="0" fontId="0" fillId="0" borderId="6" xfId="0" applyFill="1" applyBorder="1" applyAlignment="1">
      <alignment wrapText="1"/>
    </xf>
    <xf numFmtId="44" fontId="0" fillId="0" borderId="6" xfId="17" applyNumberFormat="1" applyFont="1" applyFill="1" applyBorder="1" applyAlignment="1">
      <alignment/>
    </xf>
    <xf numFmtId="167" fontId="0" fillId="0" borderId="3" xfId="21" applyNumberFormat="1" applyFont="1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vertical="top" wrapText="1"/>
    </xf>
    <xf numFmtId="3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9">
      <selection activeCell="K42" sqref="K42"/>
    </sheetView>
  </sheetViews>
  <sheetFormatPr defaultColWidth="8.57421875" defaultRowHeight="15"/>
  <cols>
    <col min="1" max="1" width="35.28125" style="43" customWidth="1"/>
    <col min="2" max="2" width="9.7109375" style="43" customWidth="1"/>
    <col min="3" max="3" width="10.00390625" style="43" customWidth="1"/>
    <col min="4" max="4" width="10.140625" style="43" customWidth="1"/>
    <col min="5" max="5" width="11.28125" style="125" customWidth="1"/>
    <col min="6" max="6" width="12.140625" style="43" customWidth="1"/>
    <col min="7" max="8" width="12.28125" style="43" customWidth="1"/>
    <col min="9" max="9" width="10.28125" style="43" customWidth="1"/>
    <col min="10" max="10" width="12.140625" style="43" customWidth="1"/>
    <col min="11" max="11" width="13.00390625" style="43" customWidth="1"/>
    <col min="12" max="16384" width="8.57421875" style="43" customWidth="1"/>
  </cols>
  <sheetData>
    <row r="1" spans="1:10" ht="63.75" customHeight="1" thickBot="1">
      <c r="A1" s="68" t="s">
        <v>85</v>
      </c>
      <c r="B1" s="131" t="s">
        <v>87</v>
      </c>
      <c r="C1" s="131" t="s">
        <v>86</v>
      </c>
      <c r="D1" s="197" t="s">
        <v>80</v>
      </c>
      <c r="E1" s="198" t="s">
        <v>54</v>
      </c>
      <c r="F1" s="198" t="s">
        <v>96</v>
      </c>
      <c r="G1" s="71" t="s">
        <v>45</v>
      </c>
      <c r="H1" s="72" t="s">
        <v>48</v>
      </c>
      <c r="I1" s="72" t="s">
        <v>38</v>
      </c>
      <c r="J1" s="258" t="s">
        <v>19</v>
      </c>
    </row>
    <row r="2" spans="1:10" ht="15.75" thickBot="1">
      <c r="A2" s="103" t="s">
        <v>63</v>
      </c>
      <c r="B2" s="180">
        <v>9923</v>
      </c>
      <c r="C2" s="180">
        <v>9413</v>
      </c>
      <c r="D2" s="181">
        <f>C2/4</f>
        <v>2353.25</v>
      </c>
      <c r="E2" s="181">
        <f>SUM(B2+D2)</f>
        <v>12276.25</v>
      </c>
      <c r="F2" s="194">
        <v>477.25</v>
      </c>
      <c r="G2" s="126">
        <f>E2/F2</f>
        <v>25.72289156626506</v>
      </c>
      <c r="H2" s="182">
        <f>(F2-564.25)*(16.44)+(F2-64.25)*(73%*8.22)+(64.25*11.25)+297</f>
        <v>2067.7803</v>
      </c>
      <c r="I2" s="130">
        <f>H2/(B2*2.28717+C2*1.45944)</f>
        <v>0.05675523466897427</v>
      </c>
      <c r="J2" s="254" t="s">
        <v>25</v>
      </c>
    </row>
    <row r="3" spans="1:10" ht="15.75" thickBot="1">
      <c r="A3" s="102" t="s">
        <v>98</v>
      </c>
      <c r="B3" s="175">
        <v>7253</v>
      </c>
      <c r="C3" s="188">
        <v>7278</v>
      </c>
      <c r="D3" s="169">
        <f>C3/4</f>
        <v>1819.5</v>
      </c>
      <c r="E3" s="260">
        <f>SUM(B3+D3)</f>
        <v>9072.5</v>
      </c>
      <c r="F3" s="163">
        <v>242.25</v>
      </c>
      <c r="G3" s="123">
        <f>E3/F3</f>
        <v>37.450980392156865</v>
      </c>
      <c r="H3" s="182">
        <f>(F3-133.25)*(16.44)+(F3-133.25)*(73%*8.22)+(133.25*11.25)+185.63</f>
        <v>4130.7179</v>
      </c>
      <c r="I3" s="130">
        <f>H3/(B3*2.28717+C3*1.45944)</f>
        <v>0.1518051995639458</v>
      </c>
      <c r="J3" s="254" t="s">
        <v>22</v>
      </c>
    </row>
    <row r="4" spans="1:10" ht="15.75" thickBot="1">
      <c r="A4" s="101" t="s">
        <v>67</v>
      </c>
      <c r="B4" s="164">
        <v>9732</v>
      </c>
      <c r="C4" s="164">
        <v>7576</v>
      </c>
      <c r="D4" s="159">
        <f>C4/4</f>
        <v>1894</v>
      </c>
      <c r="E4" s="181">
        <f>SUM(B4+D4)</f>
        <v>11626</v>
      </c>
      <c r="F4" s="195">
        <v>349.5</v>
      </c>
      <c r="G4" s="123">
        <f>E4/F4</f>
        <v>33.264663805436335</v>
      </c>
      <c r="H4" s="182">
        <f>(F4-140.5)*(16.44)+(F4-140.5)*(73%*8.22)+(140.5*11.25)+297</f>
        <v>6567.710400000001</v>
      </c>
      <c r="I4" s="130">
        <f>H4/(B4*2.28717+C4*1.45944)</f>
        <v>0.1971370412476553</v>
      </c>
      <c r="J4" s="254" t="s">
        <v>25</v>
      </c>
    </row>
    <row r="5" spans="1:10" ht="15.75" thickBot="1">
      <c r="A5" s="102" t="s">
        <v>118</v>
      </c>
      <c r="B5" s="164">
        <v>7797</v>
      </c>
      <c r="C5" s="164">
        <v>7033</v>
      </c>
      <c r="D5" s="159">
        <f>C5/4</f>
        <v>1758.25</v>
      </c>
      <c r="E5" s="181">
        <f>SUM(B5+D5)</f>
        <v>9555.25</v>
      </c>
      <c r="F5" s="195">
        <v>301.25</v>
      </c>
      <c r="G5" s="123">
        <f>E5/F5</f>
        <v>31.718672199170125</v>
      </c>
      <c r="H5" s="182">
        <f>(F5-45)*(16.44)+(F5-45)*(73%*8.22)+(45*11.25)+181.5</f>
        <v>6438.15375</v>
      </c>
      <c r="I5" s="130">
        <f>H5/(B5*2.28717+C5*1.45944)</f>
        <v>0.22913775960259758</v>
      </c>
      <c r="J5" s="254" t="s">
        <v>20</v>
      </c>
    </row>
    <row r="6" spans="1:10" ht="15.75" thickBot="1">
      <c r="A6" s="101" t="s">
        <v>104</v>
      </c>
      <c r="B6" s="164">
        <v>8380</v>
      </c>
      <c r="C6" s="164">
        <v>8505</v>
      </c>
      <c r="D6" s="159">
        <f>C6/4</f>
        <v>2126.25</v>
      </c>
      <c r="E6" s="181">
        <f>SUM(B6+D6)</f>
        <v>10506.25</v>
      </c>
      <c r="F6" s="195">
        <v>360.5</v>
      </c>
      <c r="G6" s="123">
        <f>E6/F6</f>
        <v>29.143550624133148</v>
      </c>
      <c r="H6" s="182">
        <f>(F6-64.5)*(16.44)+(F6-64.5)*(73%*8.22)+(64.5*11.25)</f>
        <v>7368.042600000001</v>
      </c>
      <c r="I6" s="130">
        <f>H6/(B6*2.28717+C6*1.45944)</f>
        <v>0.23332079906287662</v>
      </c>
      <c r="J6" s="254" t="s">
        <v>20</v>
      </c>
    </row>
    <row r="7" spans="1:10" ht="15.75" thickBot="1">
      <c r="A7" s="102" t="s">
        <v>119</v>
      </c>
      <c r="B7" s="164">
        <v>7930</v>
      </c>
      <c r="C7" s="164">
        <v>7521</v>
      </c>
      <c r="D7" s="159">
        <f>C7/4</f>
        <v>1880.25</v>
      </c>
      <c r="E7" s="181">
        <f>SUM(B7+D7)</f>
        <v>9810.25</v>
      </c>
      <c r="F7" s="195">
        <v>356.75</v>
      </c>
      <c r="G7" s="123">
        <f>E7/F7</f>
        <v>27.4989488437281</v>
      </c>
      <c r="H7" s="182">
        <f>(F7-86.75)*(16.44)+(F7-86.75)*(73%*8.22)+(86.75*11.25)</f>
        <v>7034.8995</v>
      </c>
      <c r="I7" s="130">
        <f>H7/(B7*2.28717+C7*1.45944)</f>
        <v>0.24163531148676137</v>
      </c>
      <c r="J7" s="254" t="s">
        <v>20</v>
      </c>
    </row>
    <row r="8" spans="1:21" ht="15.75" thickBot="1">
      <c r="A8" s="101" t="s">
        <v>105</v>
      </c>
      <c r="B8" s="164">
        <v>7317</v>
      </c>
      <c r="C8" s="164">
        <v>6515</v>
      </c>
      <c r="D8" s="159">
        <f>C8/4</f>
        <v>1628.75</v>
      </c>
      <c r="E8" s="181">
        <f>SUM(B8+D8)</f>
        <v>8945.75</v>
      </c>
      <c r="F8" s="195">
        <v>340.75</v>
      </c>
      <c r="G8" s="123">
        <f>E8/F8</f>
        <v>26.25311812179017</v>
      </c>
      <c r="H8" s="182">
        <f>(F8-127.5)*(16.44)+(F8-127.5)*(73%*8.22)+(127.55*11.25)+288.75</f>
        <v>6509.14545</v>
      </c>
      <c r="I8" s="130">
        <f>H8/(B8*2.28717+C8*1.45944)</f>
        <v>0.2480291034817166</v>
      </c>
      <c r="J8" s="254" t="s">
        <v>22</v>
      </c>
      <c r="U8" s="125"/>
    </row>
    <row r="9" spans="1:10" ht="15.75" thickBot="1">
      <c r="A9" s="101" t="s">
        <v>58</v>
      </c>
      <c r="B9" s="175">
        <v>3578</v>
      </c>
      <c r="C9" s="188">
        <v>3683</v>
      </c>
      <c r="D9" s="169">
        <f>C9/4</f>
        <v>920.75</v>
      </c>
      <c r="E9" s="260">
        <f>SUM(B9+D9)</f>
        <v>4498.75</v>
      </c>
      <c r="F9" s="163">
        <v>206.75</v>
      </c>
      <c r="G9" s="123">
        <f>E9/F9</f>
        <v>21.759371221281743</v>
      </c>
      <c r="H9" s="182">
        <f>(F9-106.75)*(16.44)+(F9-106.75)*(73%*8.22)+(106.75*11.25)</f>
        <v>3444.9975000000004</v>
      </c>
      <c r="I9" s="130">
        <f>H9/(B9*2.28717+C9*1.45944)</f>
        <v>0.25408187474484945</v>
      </c>
      <c r="J9" s="254" t="s">
        <v>24</v>
      </c>
    </row>
    <row r="10" spans="1:10" ht="15.75" thickBot="1">
      <c r="A10" s="102" t="s">
        <v>70</v>
      </c>
      <c r="B10" s="164">
        <v>3631</v>
      </c>
      <c r="C10" s="164">
        <v>3215</v>
      </c>
      <c r="D10" s="159">
        <f>C10/4</f>
        <v>803.75</v>
      </c>
      <c r="E10" s="181">
        <f>SUM(B10+D10)</f>
        <v>4434.75</v>
      </c>
      <c r="F10" s="195">
        <v>184</v>
      </c>
      <c r="G10" s="123">
        <f>E10/F10</f>
        <v>24.101902173913043</v>
      </c>
      <c r="H10" s="182">
        <f>(F10-97.5)*(16.44)+(F10-97.5)*(73%*8.22)+(97.5*11.25)+288.75</f>
        <v>3326.7369000000003</v>
      </c>
      <c r="I10" s="130">
        <f>H10/(B10*2.28717+C10*1.45944)</f>
        <v>0.2559655722760612</v>
      </c>
      <c r="J10" s="254" t="s">
        <v>24</v>
      </c>
    </row>
    <row r="11" spans="1:10" ht="15.75" thickBot="1">
      <c r="A11" s="102" t="s">
        <v>108</v>
      </c>
      <c r="B11" s="164">
        <v>8626</v>
      </c>
      <c r="C11" s="164">
        <v>7164</v>
      </c>
      <c r="D11" s="159">
        <f>C11/4</f>
        <v>1791</v>
      </c>
      <c r="E11" s="181">
        <f>SUM(B11+D11)</f>
        <v>10417</v>
      </c>
      <c r="F11" s="195">
        <v>363</v>
      </c>
      <c r="G11" s="123">
        <f>E11/F11</f>
        <v>28.696969696969695</v>
      </c>
      <c r="H11" s="182">
        <f>(F11-0)*(16.44)+(F11-0)*(73%*8.22)+(0*11.25)+402.19</f>
        <v>8548.1278</v>
      </c>
      <c r="I11" s="130">
        <f>H11/(B11*2.28717+C11*1.45944)</f>
        <v>0.2831954074708491</v>
      </c>
      <c r="J11" s="254" t="s">
        <v>20</v>
      </c>
    </row>
    <row r="12" spans="1:10" ht="15.75" thickBot="1">
      <c r="A12" s="101" t="s">
        <v>71</v>
      </c>
      <c r="B12" s="175">
        <v>8669</v>
      </c>
      <c r="C12" s="188">
        <v>7091</v>
      </c>
      <c r="D12" s="169">
        <f>C12/2</f>
        <v>3545.5</v>
      </c>
      <c r="E12" s="260">
        <f>SUM(B12+D12)</f>
        <v>12214.5</v>
      </c>
      <c r="F12" s="163">
        <v>365.5</v>
      </c>
      <c r="G12" s="123">
        <f>E12/F12</f>
        <v>33.41860465116279</v>
      </c>
      <c r="H12" s="182">
        <f>(F12-0)*(16.44)+(F12-0)*(73%*8.22)+(0*11.25)+371.25</f>
        <v>8573.2893</v>
      </c>
      <c r="I12" s="130">
        <f>H12/(B12*2.28717+C12*1.45944)</f>
        <v>0.2841060903537689</v>
      </c>
      <c r="J12" s="254" t="s">
        <v>30</v>
      </c>
    </row>
    <row r="13" spans="1:10" ht="15.75" thickBot="1">
      <c r="A13" s="101" t="s">
        <v>113</v>
      </c>
      <c r="B13" s="164">
        <v>7039</v>
      </c>
      <c r="C13" s="164">
        <v>4347</v>
      </c>
      <c r="D13" s="159">
        <f>C13/4</f>
        <v>1086.75</v>
      </c>
      <c r="E13" s="181">
        <f>SUM(B13+D13)</f>
        <v>8125.75</v>
      </c>
      <c r="F13" s="195">
        <v>352.5</v>
      </c>
      <c r="G13" s="123">
        <f>E13/F13</f>
        <v>23.05177304964539</v>
      </c>
      <c r="H13" s="182">
        <f>(F13-126.55)*(16.44)+(F13-126.5)*(73%*8.22)+(126.5*11.25)</f>
        <v>6493.8786</v>
      </c>
      <c r="I13" s="130">
        <f>H13/(B13*2.28717+C13*1.45944)</f>
        <v>0.2893424291942726</v>
      </c>
      <c r="J13" s="254" t="s">
        <v>22</v>
      </c>
    </row>
    <row r="14" spans="1:10" ht="15">
      <c r="A14" s="101" t="s">
        <v>100</v>
      </c>
      <c r="B14" s="175">
        <v>6438</v>
      </c>
      <c r="C14" s="188">
        <v>6203</v>
      </c>
      <c r="D14" s="169">
        <f>C14/4</f>
        <v>1550.75</v>
      </c>
      <c r="E14" s="260">
        <f>SUM(B14+D14)</f>
        <v>7988.75</v>
      </c>
      <c r="F14" s="163">
        <v>377.5</v>
      </c>
      <c r="G14" s="123">
        <f>E14/F14</f>
        <v>21.162251655629138</v>
      </c>
      <c r="H14" s="182">
        <f>(F14-107.25)*(16.44)+(F14-107.25)*(73%*8.22)+(107.25*11.25)</f>
        <v>7271.134650000001</v>
      </c>
      <c r="I14" s="130">
        <f>H14/(B14*2.28717+C14*1.45944)</f>
        <v>0.30579629555007914</v>
      </c>
      <c r="J14" s="254" t="s">
        <v>22</v>
      </c>
    </row>
    <row r="15" spans="1:10" ht="15.75" thickBot="1">
      <c r="A15" s="101" t="s">
        <v>109</v>
      </c>
      <c r="B15" s="164">
        <v>7367</v>
      </c>
      <c r="C15" s="164">
        <v>6725</v>
      </c>
      <c r="D15" s="159">
        <f>C15/4</f>
        <v>1681.25</v>
      </c>
      <c r="E15" s="181">
        <f>SUM(B15+D15)</f>
        <v>9048.25</v>
      </c>
      <c r="F15" s="195">
        <v>395.5</v>
      </c>
      <c r="G15" s="123">
        <f>E15/F15</f>
        <v>22.878002528445005</v>
      </c>
      <c r="H15" s="254">
        <f>(F15-80)*(16.44)+(F15-80)*(73%*8.22)+(80*11.25)+198</f>
        <v>8178.009300000001</v>
      </c>
      <c r="I15" s="130">
        <f>H15/(B15*2.28717+C15*1.45944)</f>
        <v>0.30670239158163515</v>
      </c>
      <c r="J15" s="254" t="s">
        <v>22</v>
      </c>
    </row>
    <row r="16" spans="1:10" ht="18" customHeight="1" thickBot="1">
      <c r="A16" s="101" t="s">
        <v>73</v>
      </c>
      <c r="B16" s="164">
        <v>4607</v>
      </c>
      <c r="C16" s="164">
        <v>4505</v>
      </c>
      <c r="D16" s="159">
        <f>C16/4</f>
        <v>1126.25</v>
      </c>
      <c r="E16" s="181">
        <f>SUM(B16+D16)</f>
        <v>5733.25</v>
      </c>
      <c r="F16" s="195">
        <v>239.5</v>
      </c>
      <c r="G16" s="123">
        <f>E16/F16</f>
        <v>23.9384133611691</v>
      </c>
      <c r="H16" s="182">
        <f>(F16-6.5)*(16.44)+(F16-6.5)*(73%*8.22)+(6.5*11.25)</f>
        <v>5301.7848</v>
      </c>
      <c r="I16" s="130">
        <f>H16/(B16*2.28717+C16*1.45944)</f>
        <v>0.30983264671030025</v>
      </c>
      <c r="J16" s="254" t="s">
        <v>22</v>
      </c>
    </row>
    <row r="17" spans="1:10" ht="15.75" thickBot="1">
      <c r="A17" s="102" t="s">
        <v>127</v>
      </c>
      <c r="B17" s="164">
        <v>9210</v>
      </c>
      <c r="C17" s="164">
        <v>9348</v>
      </c>
      <c r="D17" s="159">
        <f>C17/2</f>
        <v>4674</v>
      </c>
      <c r="E17" s="181">
        <f>SUM(B17+D17)</f>
        <v>13884</v>
      </c>
      <c r="F17" s="195">
        <v>502.5</v>
      </c>
      <c r="G17" s="123">
        <f>E17/F17</f>
        <v>27.629850746268655</v>
      </c>
      <c r="H17" s="182">
        <f>(F17-83.5)*(16.44)+(F17-83.5)*(73%*8.22)+(83.5*11.25)+420.75</f>
        <v>10762.736400000002</v>
      </c>
      <c r="I17" s="130">
        <f>H17/(B17*2.28717+C17*1.45944)</f>
        <v>0.31009667444556155</v>
      </c>
      <c r="J17" s="254" t="s">
        <v>32</v>
      </c>
    </row>
    <row r="18" spans="1:10" ht="15.75" thickBot="1">
      <c r="A18" s="102" t="s">
        <v>69</v>
      </c>
      <c r="B18" s="164">
        <v>6065</v>
      </c>
      <c r="C18" s="164">
        <v>5401</v>
      </c>
      <c r="D18" s="159">
        <f>C18/4</f>
        <v>1350.25</v>
      </c>
      <c r="E18" s="181">
        <f>SUM(B18+D18)</f>
        <v>7415.25</v>
      </c>
      <c r="F18" s="195">
        <v>332.75</v>
      </c>
      <c r="G18" s="123">
        <f>E18/F18</f>
        <v>22.284748309541698</v>
      </c>
      <c r="H18" s="182">
        <f>(F18-73.25)*(16.44)+(F18-73.25)*(73%*8.22)+(73.25*11.25)+297</f>
        <v>6944.3982000000005</v>
      </c>
      <c r="I18" s="130">
        <f>H18/(B18*2.28717+C18*1.45944)</f>
        <v>0.3192221852393452</v>
      </c>
      <c r="J18" s="254" t="s">
        <v>22</v>
      </c>
    </row>
    <row r="19" spans="1:10" ht="15.75" thickBot="1">
      <c r="A19" s="102" t="s">
        <v>68</v>
      </c>
      <c r="B19" s="164">
        <v>7835</v>
      </c>
      <c r="C19" s="164">
        <v>6742</v>
      </c>
      <c r="D19" s="159">
        <f>C19/4</f>
        <v>1685.5</v>
      </c>
      <c r="E19" s="181">
        <f>SUM(B19+D19)</f>
        <v>9520.5</v>
      </c>
      <c r="F19" s="195">
        <v>392</v>
      </c>
      <c r="G19" s="123">
        <f>E19/F19</f>
        <v>24.286989795918366</v>
      </c>
      <c r="H19" s="182">
        <f>(F19-8.5)*(16.44)+(F19-8.5)*(73%*8.22)+(8.5*11.25)+222.75</f>
        <v>8924.3451</v>
      </c>
      <c r="I19" s="130">
        <f>H19/(B19*2.28717+C19*1.45944)</f>
        <v>0.32148771449479563</v>
      </c>
      <c r="J19" s="254" t="s">
        <v>22</v>
      </c>
    </row>
    <row r="20" spans="1:10" ht="15.75" thickBot="1">
      <c r="A20" s="102" t="s">
        <v>97</v>
      </c>
      <c r="B20" s="175">
        <v>4264</v>
      </c>
      <c r="C20" s="188">
        <v>2671</v>
      </c>
      <c r="D20" s="169">
        <f>C20/4</f>
        <v>667.75</v>
      </c>
      <c r="E20" s="260">
        <f>SUM(B20+D20)</f>
        <v>4931.75</v>
      </c>
      <c r="F20" s="163">
        <v>254.25</v>
      </c>
      <c r="G20" s="123">
        <f>E20/F20</f>
        <v>19.39724680432645</v>
      </c>
      <c r="H20" s="182">
        <f>(F20-140.25)*(16.44)+(F20-140.25)*(73%*8.22)+(140.275*11.25)+297</f>
        <v>4433.32215</v>
      </c>
      <c r="I20" s="130">
        <f>H20/(B20*2.28717+C20*1.45944)</f>
        <v>0.3247698708587884</v>
      </c>
      <c r="J20" s="254" t="s">
        <v>34</v>
      </c>
    </row>
    <row r="21" spans="1:10" ht="15.75" thickBot="1">
      <c r="A21" s="102" t="s">
        <v>120</v>
      </c>
      <c r="B21" s="164">
        <v>8156</v>
      </c>
      <c r="C21" s="164">
        <v>5156</v>
      </c>
      <c r="D21" s="159">
        <f>C21/4</f>
        <v>1289</v>
      </c>
      <c r="E21" s="181">
        <f>SUM(B21+D21)</f>
        <v>9445</v>
      </c>
      <c r="F21" s="195">
        <v>385</v>
      </c>
      <c r="G21" s="123">
        <f>E21/F21</f>
        <v>24.532467532467532</v>
      </c>
      <c r="H21" s="182">
        <f>(F21-47.75)*(16.44)+(F21-47.75)*(73%*8.22)+(47.75*11.25)+408.38</f>
        <v>8513.65985</v>
      </c>
      <c r="I21" s="130">
        <f>H21/(B21*2.28717+C21*1.45944)</f>
        <v>0.32520912626470166</v>
      </c>
      <c r="J21" s="254" t="s">
        <v>20</v>
      </c>
    </row>
    <row r="22" spans="1:10" ht="15.75" thickBot="1">
      <c r="A22" s="102" t="s">
        <v>106</v>
      </c>
      <c r="B22" s="164">
        <v>6973</v>
      </c>
      <c r="C22" s="164">
        <v>7532</v>
      </c>
      <c r="D22" s="159">
        <f>C22/4</f>
        <v>1883</v>
      </c>
      <c r="E22" s="181">
        <f>SUM(B22+D22)</f>
        <v>8856</v>
      </c>
      <c r="F22" s="196">
        <v>397.5</v>
      </c>
      <c r="G22" s="123">
        <f>E22/F22</f>
        <v>22.279245283018867</v>
      </c>
      <c r="H22" s="182">
        <f>(F22-10)*(16.44)+(F22-10)*(73%*8.22)+(10*11.25)</f>
        <v>8808.232500000002</v>
      </c>
      <c r="I22" s="130">
        <f>H22/(B22*2.28717+C22*1.45944)</f>
        <v>0.3269460157547764</v>
      </c>
      <c r="J22" s="254" t="s">
        <v>22</v>
      </c>
    </row>
    <row r="23" spans="1:10" ht="15.75" thickBot="1">
      <c r="A23" s="101" t="s">
        <v>62</v>
      </c>
      <c r="B23" s="175">
        <v>9207</v>
      </c>
      <c r="C23" s="188">
        <v>8434</v>
      </c>
      <c r="D23" s="169">
        <f>C23/2</f>
        <v>4217</v>
      </c>
      <c r="E23" s="260">
        <f>SUM(B23+D23)</f>
        <v>13424</v>
      </c>
      <c r="F23" s="163">
        <v>500.25</v>
      </c>
      <c r="G23" s="123">
        <f>E23/F23</f>
        <v>26.834582708645677</v>
      </c>
      <c r="H23" s="182">
        <f>(F23-27)*(16.44)+(F23-27)*(73%*8.22)+(27*11.25)</f>
        <v>10923.76395</v>
      </c>
      <c r="I23" s="130">
        <f>H23/(B23*2.28717+C23*1.45944)</f>
        <v>0.3273833304065548</v>
      </c>
      <c r="J23" s="254" t="s">
        <v>32</v>
      </c>
    </row>
    <row r="24" spans="1:10" ht="15.75" thickBot="1">
      <c r="A24" s="101" t="s">
        <v>99</v>
      </c>
      <c r="B24" s="175">
        <v>7984</v>
      </c>
      <c r="C24" s="188">
        <v>7434</v>
      </c>
      <c r="D24" s="169">
        <f>C24/4</f>
        <v>1858.5</v>
      </c>
      <c r="E24" s="260">
        <f>SUM(B24+D24)</f>
        <v>9842.5</v>
      </c>
      <c r="F24" s="163">
        <v>443</v>
      </c>
      <c r="G24" s="123">
        <f>E24/F24</f>
        <v>22.21783295711061</v>
      </c>
      <c r="H24" s="182">
        <f>(F24-13.5)*(16.44)+(F24-13.5)*(73%*8.22)+(13.5*11.25)+185.63</f>
        <v>9975.7427</v>
      </c>
      <c r="I24" s="130">
        <f>H24/(B24*2.28717+C24*1.45944)</f>
        <v>0.3426884124754024</v>
      </c>
      <c r="J24" s="254" t="s">
        <v>20</v>
      </c>
    </row>
    <row r="25" spans="1:10" ht="15.75" thickBot="1">
      <c r="A25" s="101" t="s">
        <v>116</v>
      </c>
      <c r="B25" s="164">
        <v>5188</v>
      </c>
      <c r="C25" s="164">
        <v>3802</v>
      </c>
      <c r="D25" s="159">
        <f>C25/4</f>
        <v>950.5</v>
      </c>
      <c r="E25" s="181">
        <f>SUM(B25+D25)</f>
        <v>6138.5</v>
      </c>
      <c r="F25" s="195">
        <v>264.25</v>
      </c>
      <c r="G25" s="123">
        <f>E25/F25</f>
        <v>23.229895931882687</v>
      </c>
      <c r="H25" s="182">
        <f>(F25-15.75)*(16.44)+(F25-15.75)*(73%*8.22)+(15.75*11.25)+264.25</f>
        <v>6017.926600000001</v>
      </c>
      <c r="I25" s="130">
        <f>H25/(B25*2.28717+C25*1.45944)</f>
        <v>0.3455673190218851</v>
      </c>
      <c r="J25" s="254" t="s">
        <v>22</v>
      </c>
    </row>
    <row r="26" spans="1:10" ht="15.75" thickBot="1">
      <c r="A26" s="102" t="s">
        <v>111</v>
      </c>
      <c r="B26" s="164">
        <v>7951</v>
      </c>
      <c r="C26" s="164">
        <v>5898</v>
      </c>
      <c r="D26" s="159">
        <f>C26/4</f>
        <v>1474.5</v>
      </c>
      <c r="E26" s="181">
        <f>SUM(B26+D26)</f>
        <v>9425.5</v>
      </c>
      <c r="F26" s="195">
        <v>479.5</v>
      </c>
      <c r="G26" s="123">
        <f>E26/F26</f>
        <v>19.656934306569344</v>
      </c>
      <c r="H26" s="182">
        <f>(F26-129.25)*(16.44)+(F26-129.25)*(73%*8.22)+(129.25*11.25)+402.19</f>
        <v>9716.072650000002</v>
      </c>
      <c r="I26" s="130">
        <f>H26/(B26*2.28717+C26*1.45944)</f>
        <v>0.3626338518388717</v>
      </c>
      <c r="J26" s="254" t="s">
        <v>22</v>
      </c>
    </row>
    <row r="27" spans="1:10" ht="15.75" thickBot="1">
      <c r="A27" s="104" t="s">
        <v>125</v>
      </c>
      <c r="B27" s="164">
        <v>12503</v>
      </c>
      <c r="C27" s="164">
        <v>11069</v>
      </c>
      <c r="D27" s="159">
        <f>C27/2</f>
        <v>5534.5</v>
      </c>
      <c r="E27" s="181">
        <f>SUM(B27+D27)</f>
        <v>18037.5</v>
      </c>
      <c r="F27" s="195">
        <v>758</v>
      </c>
      <c r="G27" s="123">
        <f>E27/F27</f>
        <v>23.79617414248021</v>
      </c>
      <c r="H27" s="182">
        <f>(F27-90)*(16.44)+(F27-90)*(73%*8.22)+(90*11.25)+363</f>
        <v>16365.820800000001</v>
      </c>
      <c r="I27" s="130">
        <f>H27/(B27*2.28717+C27*1.45944)</f>
        <v>0.3657082659093792</v>
      </c>
      <c r="J27" s="254" t="s">
        <v>27</v>
      </c>
    </row>
    <row r="28" spans="1:10" ht="15.75" thickBot="1">
      <c r="A28" s="101" t="s">
        <v>110</v>
      </c>
      <c r="B28" s="164">
        <v>3421</v>
      </c>
      <c r="C28" s="164">
        <v>2143</v>
      </c>
      <c r="D28" s="159">
        <f>C28/4</f>
        <v>535.75</v>
      </c>
      <c r="E28" s="181">
        <f>SUM(B28+D28)</f>
        <v>3956.75</v>
      </c>
      <c r="F28" s="195">
        <v>183.5</v>
      </c>
      <c r="G28" s="123">
        <f>E28/F28</f>
        <v>21.56267029972752</v>
      </c>
      <c r="H28" s="182">
        <f>(F28-8)*(16.44)+(F28-8)*(73%*8.22)+(8*11.25)</f>
        <v>4028.3253000000004</v>
      </c>
      <c r="I28" s="130">
        <f>H28/(B28*2.28717+C28*1.45944)</f>
        <v>0.36781679451892857</v>
      </c>
      <c r="J28" s="254" t="s">
        <v>24</v>
      </c>
    </row>
    <row r="29" spans="1:10" ht="15.75" thickBot="1">
      <c r="A29" s="101" t="s">
        <v>102</v>
      </c>
      <c r="B29" s="175">
        <v>9407</v>
      </c>
      <c r="C29" s="188">
        <v>7089</v>
      </c>
      <c r="D29" s="169">
        <f>C29/4</f>
        <v>1772.25</v>
      </c>
      <c r="E29" s="260">
        <f>SUM(B29+D29)</f>
        <v>11179.25</v>
      </c>
      <c r="F29" s="163">
        <v>544.25</v>
      </c>
      <c r="G29" s="123">
        <f>E29/F29</f>
        <v>20.540652273771244</v>
      </c>
      <c r="H29" s="182">
        <f>(F29-67)*(16.44)+(F29-67)*(73%*8.22)+(67*11.25)+358.69</f>
        <v>11822.21635</v>
      </c>
      <c r="I29" s="130">
        <f>H29/(B29*2.28717+C29*1.45944)</f>
        <v>0.371051629346726</v>
      </c>
      <c r="J29" s="254" t="s">
        <v>41</v>
      </c>
    </row>
    <row r="30" spans="1:10" ht="15.75" thickBot="1">
      <c r="A30" s="102" t="s">
        <v>128</v>
      </c>
      <c r="B30" s="164">
        <v>9092</v>
      </c>
      <c r="C30" s="164">
        <v>7612</v>
      </c>
      <c r="D30" s="159">
        <f>C30/2</f>
        <v>3806</v>
      </c>
      <c r="E30" s="181">
        <f>SUM(B30+D30)</f>
        <v>12898</v>
      </c>
      <c r="F30" s="195">
        <v>531</v>
      </c>
      <c r="G30" s="123">
        <f>E30/F30</f>
        <v>24.290018832391713</v>
      </c>
      <c r="H30" s="182">
        <f>(F30-0)*(16.44)+(F30-0)*(73%*8.22)+(0*11.25)+334.13</f>
        <v>12250.088600000001</v>
      </c>
      <c r="I30" s="130">
        <f>H30/(B30*2.28717+C30*1.45944)</f>
        <v>0.38396467997832306</v>
      </c>
      <c r="J30" s="254" t="s">
        <v>30</v>
      </c>
    </row>
    <row r="31" spans="1:10" ht="15.75" thickBot="1">
      <c r="A31" s="101" t="s">
        <v>115</v>
      </c>
      <c r="B31" s="164">
        <v>6559</v>
      </c>
      <c r="C31" s="164">
        <v>5356</v>
      </c>
      <c r="D31" s="159">
        <f>C31/4</f>
        <v>1339</v>
      </c>
      <c r="E31" s="181">
        <f>SUM(B31+D31)</f>
        <v>7898</v>
      </c>
      <c r="F31" s="195">
        <v>420.75</v>
      </c>
      <c r="G31" s="123">
        <f>E31/F31</f>
        <v>18.77124183006536</v>
      </c>
      <c r="H31" s="182">
        <f>(F31-30.75)*(16.44)+(F31-30.75)*(73%*8.22)+(30.75*11.25)+445.5</f>
        <v>9543.2715</v>
      </c>
      <c r="I31" s="130">
        <f>H31/(B31*2.28717+C31*1.45944)</f>
        <v>0.4182286968773834</v>
      </c>
      <c r="J31" s="254" t="s">
        <v>22</v>
      </c>
    </row>
    <row r="32" spans="1:10" ht="17.25" customHeight="1">
      <c r="A32" s="102" t="s">
        <v>81</v>
      </c>
      <c r="B32" s="164">
        <v>2806</v>
      </c>
      <c r="C32" s="164">
        <v>2925</v>
      </c>
      <c r="D32" s="159">
        <f>C32/4</f>
        <v>731.25</v>
      </c>
      <c r="E32" s="159">
        <f>SUM(B32+D32)</f>
        <v>3537.25</v>
      </c>
      <c r="F32" s="195">
        <v>222</v>
      </c>
      <c r="G32" s="123">
        <f>E32/F32</f>
        <v>15.933558558558559</v>
      </c>
      <c r="H32" s="182">
        <f>(F32-6)*(16.44)+(F32-6)*(73%*8.22)+(6*11.25)</f>
        <v>4914.6696</v>
      </c>
      <c r="I32" s="130">
        <f>H32/(B32*2.28717+C32*1.45944)</f>
        <v>0.4598882280257824</v>
      </c>
      <c r="J32" s="254" t="s">
        <v>31</v>
      </c>
    </row>
    <row r="33" spans="1:10" ht="76.5" customHeight="1" thickBot="1">
      <c r="A33" s="261" t="s">
        <v>72</v>
      </c>
      <c r="B33" s="262">
        <v>3499</v>
      </c>
      <c r="C33" s="263">
        <v>1097</v>
      </c>
      <c r="D33" s="264">
        <v>760</v>
      </c>
      <c r="E33" s="266">
        <f>SUM(B33+D33)</f>
        <v>4259</v>
      </c>
      <c r="F33" s="268">
        <v>312</v>
      </c>
      <c r="G33" s="270">
        <f>E33/F33</f>
        <v>13.650641025641026</v>
      </c>
      <c r="H33" s="272">
        <f>(F33-102.25)*(16.44)+(F33-102.25)*(73%*8.22)+(102.25*11.25)</f>
        <v>5857.22835</v>
      </c>
      <c r="I33" s="275">
        <f>H33/(B33*2.28717+C33*1.45944)</f>
        <v>0.6098856817556009</v>
      </c>
      <c r="J33" s="272" t="s">
        <v>37</v>
      </c>
    </row>
    <row r="34" spans="1:10" ht="15.75" thickBot="1">
      <c r="A34" s="119" t="s">
        <v>126</v>
      </c>
      <c r="B34" s="180">
        <v>10079</v>
      </c>
      <c r="C34" s="180">
        <v>3830</v>
      </c>
      <c r="D34" s="181">
        <f>C34/2</f>
        <v>1915</v>
      </c>
      <c r="E34" s="181">
        <f>SUM(B34+D34)</f>
        <v>11994</v>
      </c>
      <c r="F34" s="194">
        <v>838</v>
      </c>
      <c r="G34" s="126">
        <f>E34/F34</f>
        <v>14.312649164677804</v>
      </c>
      <c r="H34" s="182">
        <f>(F34-102)*(16.44)+(F34-102)*(73%*8.22)+(102*11.25)</f>
        <v>17663.781600000002</v>
      </c>
      <c r="I34" s="130">
        <f>H34/(B34*2.28717+C34*1.45944)</f>
        <v>0.6167081882004792</v>
      </c>
      <c r="J34" s="254" t="s">
        <v>30</v>
      </c>
    </row>
    <row r="35" spans="1:10" ht="15.75" thickBot="1">
      <c r="A35" s="102" t="s">
        <v>136</v>
      </c>
      <c r="B35" s="164">
        <v>6960</v>
      </c>
      <c r="C35" s="164">
        <v>2416</v>
      </c>
      <c r="D35" s="181">
        <f>C35/2</f>
        <v>1208</v>
      </c>
      <c r="E35" s="181">
        <f>SUM(B35+D35)</f>
        <v>8168</v>
      </c>
      <c r="F35" s="195">
        <v>623</v>
      </c>
      <c r="G35" s="123">
        <f>E35/F35</f>
        <v>13.1107544141252</v>
      </c>
      <c r="H35" s="182">
        <f>(F35-144)*(16.44)+(F35-144)*(73%*8.22)+(144*11.25)</f>
        <v>12369.0474</v>
      </c>
      <c r="I35" s="130">
        <f>H35/(B35*2.28717+C35*1.45944)</f>
        <v>0.6361137423665717</v>
      </c>
      <c r="J35" s="254" t="s">
        <v>26</v>
      </c>
    </row>
    <row r="36" spans="1:10" ht="15.75" thickBot="1">
      <c r="A36" s="102" t="s">
        <v>107</v>
      </c>
      <c r="B36" s="164">
        <v>5602</v>
      </c>
      <c r="C36" s="164">
        <v>2502</v>
      </c>
      <c r="D36" s="159">
        <f>C36/4</f>
        <v>625.5</v>
      </c>
      <c r="E36" s="181">
        <f>SUM(B36+D36)</f>
        <v>6227.5</v>
      </c>
      <c r="F36" s="195">
        <v>496.5</v>
      </c>
      <c r="G36" s="123">
        <f>E36/F36</f>
        <v>12.542799597180261</v>
      </c>
      <c r="H36" s="182">
        <f>(F36-20)*(16.44)+(F36-20)*(73%*8.22)+(20*11.25)</f>
        <v>10917.9459</v>
      </c>
      <c r="I36" s="130">
        <f>H36/(B36*2.28717+C36*1.45944)</f>
        <v>0.663130666125975</v>
      </c>
      <c r="J36" s="254" t="s">
        <v>23</v>
      </c>
    </row>
    <row r="37" spans="1:10" ht="15.75" thickBot="1">
      <c r="A37" s="105" t="s">
        <v>59</v>
      </c>
      <c r="B37" s="175">
        <v>9783</v>
      </c>
      <c r="C37" s="188">
        <v>6586</v>
      </c>
      <c r="D37" s="169">
        <f>C37/2</f>
        <v>3293</v>
      </c>
      <c r="E37" s="260">
        <f>SUM(B37+D37)</f>
        <v>13076</v>
      </c>
      <c r="F37" s="163">
        <v>1027</v>
      </c>
      <c r="G37" s="123">
        <f>E37/F37</f>
        <v>12.732229795520935</v>
      </c>
      <c r="H37" s="182">
        <f>(F37-162.5)*(16.44)+(F37-162.5)*(73%*8.22)+(162.5*11.25)</f>
        <v>21228.0237</v>
      </c>
      <c r="I37" s="130">
        <f>H37/(B37*2.28717+C37*1.45944)</f>
        <v>0.6636400363063966</v>
      </c>
      <c r="J37" s="254" t="s">
        <v>44</v>
      </c>
    </row>
    <row r="38" spans="1:10" ht="15.75" thickBot="1">
      <c r="A38" s="102" t="s">
        <v>61</v>
      </c>
      <c r="B38" s="175">
        <v>1870</v>
      </c>
      <c r="C38" s="188">
        <v>1359</v>
      </c>
      <c r="D38" s="169">
        <f>C38/4</f>
        <v>339.75</v>
      </c>
      <c r="E38" s="260">
        <f>SUM(B38+D38)</f>
        <v>2209.75</v>
      </c>
      <c r="F38" s="163">
        <v>185.5</v>
      </c>
      <c r="G38" s="123">
        <f>E38/F38</f>
        <v>11.912398921832883</v>
      </c>
      <c r="H38" s="182">
        <f>(F38-0)*(16.44)+(F38-0)*(73%*8.22)+(0*11.25)</f>
        <v>4162.7313</v>
      </c>
      <c r="I38" s="130">
        <f>H38/(B38*2.28717+C38*1.45944)</f>
        <v>0.6649319591728873</v>
      </c>
      <c r="J38" s="254" t="s">
        <v>33</v>
      </c>
    </row>
    <row r="39" spans="1:10" ht="15.75" thickBot="1">
      <c r="A39" s="102" t="s">
        <v>132</v>
      </c>
      <c r="B39" s="164">
        <v>1685</v>
      </c>
      <c r="C39" s="164">
        <v>687</v>
      </c>
      <c r="D39" s="159">
        <f>C39/2</f>
        <v>343.5</v>
      </c>
      <c r="E39" s="181">
        <f>SUM(B39+D39)</f>
        <v>2028.5</v>
      </c>
      <c r="F39" s="195">
        <v>236.5</v>
      </c>
      <c r="G39" s="123">
        <f>E39/F39</f>
        <v>8.577167019027485</v>
      </c>
      <c r="H39" s="182">
        <f>(F39-116)*(16.44)+(F39-116)*(73%*8.22)+(116*11.25)</f>
        <v>4009.0923000000003</v>
      </c>
      <c r="I39" s="130">
        <f>H39/(B39*2.28717+C39*1.45944)</f>
        <v>0.8255077708751144</v>
      </c>
      <c r="J39" s="254" t="s">
        <v>28</v>
      </c>
    </row>
    <row r="40" spans="1:10" ht="15.75" thickBot="1">
      <c r="A40" s="102" t="s">
        <v>134</v>
      </c>
      <c r="B40" s="164">
        <v>2137</v>
      </c>
      <c r="C40" s="164">
        <v>1456</v>
      </c>
      <c r="D40" s="159">
        <f>C40/4</f>
        <v>364</v>
      </c>
      <c r="E40" s="181">
        <f>SUM(B40+D40)</f>
        <v>2501</v>
      </c>
      <c r="F40" s="195">
        <v>276</v>
      </c>
      <c r="G40" s="123">
        <f>E40/F40</f>
        <v>9.06159420289855</v>
      </c>
      <c r="H40" s="182">
        <f>(F40-0)*(16.44)+(F40-0)*(73%*8.22)+(0*11.25)</f>
        <v>6193.605600000001</v>
      </c>
      <c r="I40" s="130">
        <f>H40/(B40*2.28717+C40*1.45944)</f>
        <v>0.8832076284428837</v>
      </c>
      <c r="J40" s="254" t="s">
        <v>33</v>
      </c>
    </row>
    <row r="41" spans="1:10" ht="15.75" thickBot="1">
      <c r="A41" s="102" t="s">
        <v>133</v>
      </c>
      <c r="B41" s="164">
        <v>5970</v>
      </c>
      <c r="C41" s="164">
        <v>1618</v>
      </c>
      <c r="D41" s="159">
        <f>C41/2</f>
        <v>809</v>
      </c>
      <c r="E41" s="181">
        <f>SUM(B41+D41)</f>
        <v>6779</v>
      </c>
      <c r="F41" s="195">
        <v>667.25</v>
      </c>
      <c r="G41" s="123">
        <f>E41/F41</f>
        <v>10.159610340951668</v>
      </c>
      <c r="H41" s="182">
        <f>(F41-42.75)*(16.44)+(F41-42.75)*(73%*8.22)+(42.75*11.25)</f>
        <v>14495.092200000001</v>
      </c>
      <c r="I41" s="130">
        <f>H41/(B41*2.28717+C41*1.45944)</f>
        <v>0.9050507229719597</v>
      </c>
      <c r="J41" s="254" t="s">
        <v>29</v>
      </c>
    </row>
    <row r="42" spans="1:11" ht="15.75" thickBot="1">
      <c r="A42" s="102" t="s">
        <v>129</v>
      </c>
      <c r="B42" s="175">
        <v>2113</v>
      </c>
      <c r="C42" s="188">
        <v>962</v>
      </c>
      <c r="D42" s="169">
        <f>C42/2</f>
        <v>481</v>
      </c>
      <c r="E42" s="260">
        <f>SUM(B42+D42)</f>
        <v>2594</v>
      </c>
      <c r="F42" s="163">
        <v>342.75</v>
      </c>
      <c r="G42" s="123">
        <f>E42/F42</f>
        <v>7.5681983953318746</v>
      </c>
      <c r="H42" s="182">
        <f>(F42-33)*(16.44)+(F42-33)*(73%*8.22)+(33*11.25)</f>
        <v>7322.22585</v>
      </c>
      <c r="I42" s="130">
        <f>H42/(B42*2.28717+C42*1.45944)</f>
        <v>1.1740410662376215</v>
      </c>
      <c r="J42" s="254" t="s">
        <v>28</v>
      </c>
      <c r="K42" s="278">
        <f>H42/I42</f>
        <v>6236.77149</v>
      </c>
    </row>
    <row r="43" spans="1:10" ht="15.75" thickBot="1">
      <c r="A43" s="105" t="s">
        <v>131</v>
      </c>
      <c r="B43" s="175">
        <v>1646</v>
      </c>
      <c r="C43" s="188">
        <v>438</v>
      </c>
      <c r="D43" s="169">
        <f>C43/4</f>
        <v>109.5</v>
      </c>
      <c r="E43" s="260">
        <f>SUM(B43+D43)</f>
        <v>1755.5</v>
      </c>
      <c r="F43" s="163">
        <v>253.25</v>
      </c>
      <c r="G43" s="123">
        <f>E43/F43</f>
        <v>6.931885488647581</v>
      </c>
      <c r="H43" s="182">
        <f>(F43-44)*(16.44)+(F43-44)*(73%*8.22)+(44*11.25)</f>
        <v>5190.69555</v>
      </c>
      <c r="I43" s="130">
        <f>H43/(B43*2.28717+C43*1.45944)</f>
        <v>1.178654387033411</v>
      </c>
      <c r="J43" s="254" t="s">
        <v>35</v>
      </c>
    </row>
    <row r="44" spans="1:11" ht="15.75" thickBot="1">
      <c r="A44" s="102" t="s">
        <v>135</v>
      </c>
      <c r="B44" s="164">
        <v>2292</v>
      </c>
      <c r="C44" s="164">
        <v>1200</v>
      </c>
      <c r="D44" s="159">
        <f>C44/2</f>
        <v>600</v>
      </c>
      <c r="E44" s="181">
        <f>SUM(B44+D44)</f>
        <v>2892</v>
      </c>
      <c r="F44" s="195">
        <v>513</v>
      </c>
      <c r="G44" s="123">
        <f>E44/F44</f>
        <v>5.637426900584796</v>
      </c>
      <c r="H44" s="182">
        <f>(F44-3)*(16.44)+(F44-3)*(73%*8.22)+(3*11.25)</f>
        <v>11478.456000000002</v>
      </c>
      <c r="I44" s="130">
        <f>H44/(B44*2.28717+C44*1.45944)</f>
        <v>1.6412984174307925</v>
      </c>
      <c r="J44" s="254" t="s">
        <v>39</v>
      </c>
      <c r="K44" s="278">
        <f>H44/I44</f>
        <v>6993.521640000001</v>
      </c>
    </row>
    <row r="45" spans="1:10" ht="15.75" thickBot="1">
      <c r="A45" s="102" t="s">
        <v>114</v>
      </c>
      <c r="B45" s="164"/>
      <c r="C45" s="164"/>
      <c r="D45" s="159">
        <f>C45/4</f>
        <v>0</v>
      </c>
      <c r="E45" s="181">
        <v>0</v>
      </c>
      <c r="F45" s="195">
        <v>0</v>
      </c>
      <c r="G45" s="123">
        <v>0</v>
      </c>
      <c r="H45" s="274">
        <v>0</v>
      </c>
      <c r="I45" s="130" t="e">
        <f>H45/(B45*2.28717+C45*1.45944)</f>
        <v>#DIV/0!</v>
      </c>
      <c r="J45" s="254"/>
    </row>
    <row r="46" spans="1:10" ht="15.75" thickBot="1">
      <c r="A46" s="102" t="s">
        <v>130</v>
      </c>
      <c r="B46" s="175">
        <v>0</v>
      </c>
      <c r="C46" s="188">
        <v>0</v>
      </c>
      <c r="D46" s="169">
        <f>C46/4</f>
        <v>0</v>
      </c>
      <c r="E46" s="173">
        <f>SUM(B46+D46)</f>
        <v>0</v>
      </c>
      <c r="F46" s="163">
        <v>0</v>
      </c>
      <c r="G46" s="123">
        <v>0</v>
      </c>
      <c r="H46" s="182">
        <v>0</v>
      </c>
      <c r="I46" s="130" t="e">
        <f>H46/(B46*2.28717+C46*1.45944)</f>
        <v>#DIV/0!</v>
      </c>
      <c r="J46" s="254"/>
    </row>
    <row r="47" spans="1:10" ht="60.75" thickBot="1">
      <c r="A47" s="134" t="s">
        <v>85</v>
      </c>
      <c r="B47" s="135" t="s">
        <v>87</v>
      </c>
      <c r="C47" s="135" t="s">
        <v>86</v>
      </c>
      <c r="D47" s="265" t="s">
        <v>80</v>
      </c>
      <c r="E47" s="267" t="s">
        <v>54</v>
      </c>
      <c r="F47" s="269" t="s">
        <v>96</v>
      </c>
      <c r="G47" s="271" t="s">
        <v>46</v>
      </c>
      <c r="H47" s="273" t="s">
        <v>48</v>
      </c>
      <c r="I47" s="276"/>
      <c r="J47" s="277" t="s">
        <v>19</v>
      </c>
    </row>
    <row r="48" spans="1:10" ht="15.75" thickBot="1">
      <c r="A48" s="125"/>
      <c r="B48" s="190">
        <f>SUM(B2:B47)</f>
        <v>278544</v>
      </c>
      <c r="C48" s="190">
        <f>SUM(C2:C47)</f>
        <v>219537</v>
      </c>
      <c r="D48" s="190">
        <f>SUM(D2:D47)</f>
        <v>70583.25</v>
      </c>
      <c r="E48" s="189">
        <f>SUM(E2:E47)</f>
        <v>349127.25</v>
      </c>
      <c r="F48" s="241">
        <f>SUM(F2:F47)</f>
        <v>17293.75</v>
      </c>
      <c r="G48" s="123"/>
      <c r="H48" s="251">
        <f>SUM(H2:H47)</f>
        <v>356086.92675</v>
      </c>
      <c r="I48" s="210">
        <f>H48/D50</f>
        <v>0.37190067925829706</v>
      </c>
      <c r="J48" s="255"/>
    </row>
    <row r="49" spans="1:10" ht="17.25" customHeight="1">
      <c r="A49" s="202" t="s">
        <v>82</v>
      </c>
      <c r="B49" s="190"/>
      <c r="C49" s="190"/>
      <c r="D49" s="190"/>
      <c r="E49" s="189"/>
      <c r="F49" s="192"/>
      <c r="G49" s="201"/>
      <c r="H49" s="253">
        <v>87570.68</v>
      </c>
      <c r="I49" s="130" t="e">
        <f>H49/(B49*2.085+C49*1.425)</f>
        <v>#DIV/0!</v>
      </c>
      <c r="J49" s="256"/>
    </row>
    <row r="50" spans="1:10" ht="15.75" thickBot="1">
      <c r="A50" s="84" t="s">
        <v>49</v>
      </c>
      <c r="B50" s="219">
        <f>B48*2.28717</f>
        <v>637077.48048</v>
      </c>
      <c r="C50" s="219">
        <f>C48*1.45944</f>
        <v>320401.07928</v>
      </c>
      <c r="D50" s="219">
        <f>SUM(B50:C50)</f>
        <v>957478.5597600001</v>
      </c>
      <c r="E50" s="259"/>
      <c r="F50" s="114"/>
      <c r="G50" s="115"/>
      <c r="H50" s="252">
        <f>SUM(H48:H49)</f>
        <v>443657.60675</v>
      </c>
      <c r="I50" s="211">
        <f>H50/D50</f>
        <v>0.46336035645665674</v>
      </c>
      <c r="J50" s="257"/>
    </row>
    <row r="51" ht="15">
      <c r="F51" s="243">
        <f>F48+F52</f>
        <v>19476.75</v>
      </c>
    </row>
    <row r="52" spans="1:10" ht="15.75" thickBot="1">
      <c r="A52" s="101" t="s">
        <v>137</v>
      </c>
      <c r="B52" s="7"/>
      <c r="C52" s="7"/>
      <c r="D52" s="7"/>
      <c r="E52" s="118">
        <v>275742</v>
      </c>
      <c r="F52" s="245">
        <v>2183</v>
      </c>
      <c r="G52" s="11"/>
      <c r="H52" s="60"/>
      <c r="I52" s="60"/>
      <c r="J52" s="60"/>
    </row>
    <row r="53" spans="1:10" ht="18.75" thickBot="1">
      <c r="A53" s="91" t="s">
        <v>50</v>
      </c>
      <c r="B53" s="75"/>
      <c r="C53" s="248" t="s">
        <v>17</v>
      </c>
      <c r="D53" s="75" t="s">
        <v>18</v>
      </c>
      <c r="F53" s="250">
        <f>E48/F51</f>
        <v>17.92533405213909</v>
      </c>
      <c r="H53" s="203"/>
      <c r="I53" s="203"/>
      <c r="J53" s="203"/>
    </row>
    <row r="54" ht="15">
      <c r="A54" s="214" t="s">
        <v>51</v>
      </c>
    </row>
    <row r="55" ht="15">
      <c r="A55" s="215" t="s">
        <v>0</v>
      </c>
    </row>
    <row r="56" ht="15">
      <c r="A56" s="214" t="s">
        <v>53</v>
      </c>
    </row>
    <row r="57" spans="1:3" ht="15">
      <c r="A57" s="214" t="s">
        <v>57</v>
      </c>
      <c r="B57" s="92"/>
      <c r="C57" s="92"/>
    </row>
    <row r="58" ht="15">
      <c r="A58" s="214" t="s">
        <v>65</v>
      </c>
    </row>
    <row r="59" spans="1:10" ht="15">
      <c r="A59" s="214" t="s">
        <v>66</v>
      </c>
      <c r="H59" s="249"/>
      <c r="I59" s="249"/>
      <c r="J59" s="249"/>
    </row>
    <row r="60" ht="15">
      <c r="A60" s="212" t="s">
        <v>42</v>
      </c>
    </row>
    <row r="61" spans="1:7" ht="15">
      <c r="A61" s="213" t="s">
        <v>1</v>
      </c>
      <c r="F61" s="49"/>
      <c r="G61" s="49"/>
    </row>
    <row r="62" spans="1:7" ht="18">
      <c r="A62" s="91" t="s">
        <v>43</v>
      </c>
      <c r="F62" s="49"/>
      <c r="G62" s="49"/>
    </row>
    <row r="63" spans="6:7" ht="15">
      <c r="F63" s="49"/>
      <c r="G63" s="49"/>
    </row>
    <row r="64" spans="6:7" ht="15">
      <c r="F64" s="49"/>
      <c r="G64" s="49"/>
    </row>
  </sheetData>
  <printOptions/>
  <pageMargins left="0.020833333333333332" right="0" top="0.5" bottom="0.5" header="0.05" footer="0"/>
  <pageSetup horizontalDpi="600" verticalDpi="600" orientation="landscape"/>
  <headerFooter alignWithMargins="0">
    <oddHeader>&amp;C&amp;"-,Bold"&amp;KFF0000MPLH   MAR 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I8" sqref="I8"/>
    </sheetView>
  </sheetViews>
  <sheetFormatPr defaultColWidth="8.57421875" defaultRowHeight="15"/>
  <cols>
    <col min="1" max="1" width="36.7109375" style="0" customWidth="1"/>
    <col min="2" max="2" width="11.8515625" style="0" customWidth="1"/>
    <col min="3" max="3" width="12.28125" style="0" customWidth="1"/>
    <col min="4" max="4" width="12.00390625" style="0" customWidth="1"/>
    <col min="5" max="5" width="13.57421875" style="0" customWidth="1"/>
    <col min="6" max="6" width="11.00390625" style="0" customWidth="1"/>
    <col min="7" max="7" width="14.7109375" style="0" customWidth="1"/>
  </cols>
  <sheetData>
    <row r="1" spans="1:7" ht="63.75" customHeight="1">
      <c r="A1" s="2" t="s">
        <v>85</v>
      </c>
      <c r="B1" s="3" t="s">
        <v>87</v>
      </c>
      <c r="C1" s="3" t="s">
        <v>86</v>
      </c>
      <c r="D1" s="3" t="s">
        <v>94</v>
      </c>
      <c r="E1" s="3" t="s">
        <v>95</v>
      </c>
      <c r="F1" s="1" t="s">
        <v>96</v>
      </c>
      <c r="G1" s="4" t="s">
        <v>45</v>
      </c>
    </row>
    <row r="2" spans="1:7" ht="15">
      <c r="A2" s="5" t="s">
        <v>104</v>
      </c>
      <c r="B2" s="20">
        <v>9991</v>
      </c>
      <c r="C2" s="20">
        <v>9871</v>
      </c>
      <c r="D2" s="8">
        <f>C2/4</f>
        <v>2467.75</v>
      </c>
      <c r="E2" s="12">
        <f aca="true" t="shared" si="0" ref="E2:E32">SUM(C2+D2)</f>
        <v>12338.75</v>
      </c>
      <c r="F2" s="21">
        <v>370</v>
      </c>
      <c r="G2" s="11">
        <f>E2/F2</f>
        <v>33.347972972972975</v>
      </c>
    </row>
    <row r="3" spans="1:7" ht="15">
      <c r="A3" s="5" t="s">
        <v>105</v>
      </c>
      <c r="B3" s="20">
        <v>8122</v>
      </c>
      <c r="C3" s="20">
        <v>7339</v>
      </c>
      <c r="D3" s="8">
        <f aca="true" t="shared" si="1" ref="D3:D46">C3/4</f>
        <v>1834.75</v>
      </c>
      <c r="E3" s="12">
        <f t="shared" si="0"/>
        <v>9173.75</v>
      </c>
      <c r="F3" s="21">
        <v>365</v>
      </c>
      <c r="G3" s="11">
        <f>E3/F3</f>
        <v>25.133561643835616</v>
      </c>
    </row>
    <row r="4" spans="1:7" ht="15">
      <c r="A4" s="6" t="s">
        <v>106</v>
      </c>
      <c r="B4" s="20">
        <v>9115</v>
      </c>
      <c r="C4" s="20">
        <v>8112</v>
      </c>
      <c r="D4" s="8">
        <f t="shared" si="1"/>
        <v>2028</v>
      </c>
      <c r="E4" s="12">
        <f t="shared" si="0"/>
        <v>10140</v>
      </c>
      <c r="F4" s="21">
        <v>400</v>
      </c>
      <c r="G4" s="11">
        <f aca="true" t="shared" si="2" ref="G4:G46">E4/F4</f>
        <v>25.35</v>
      </c>
    </row>
    <row r="5" spans="1:7" ht="15">
      <c r="A5" s="6" t="s">
        <v>107</v>
      </c>
      <c r="B5" s="20">
        <v>7218</v>
      </c>
      <c r="C5" s="20">
        <v>2646</v>
      </c>
      <c r="D5" s="8">
        <f t="shared" si="1"/>
        <v>661.5</v>
      </c>
      <c r="E5" s="12">
        <f t="shared" si="0"/>
        <v>3307.5</v>
      </c>
      <c r="F5" s="21">
        <v>520</v>
      </c>
      <c r="G5" s="11">
        <f t="shared" si="2"/>
        <v>6.360576923076923</v>
      </c>
    </row>
    <row r="6" spans="1:7" ht="15">
      <c r="A6" s="6" t="s">
        <v>108</v>
      </c>
      <c r="B6" s="20">
        <v>9169</v>
      </c>
      <c r="C6" s="20">
        <v>7110</v>
      </c>
      <c r="D6" s="8">
        <f t="shared" si="1"/>
        <v>1777.5</v>
      </c>
      <c r="E6" s="12">
        <f t="shared" si="0"/>
        <v>8887.5</v>
      </c>
      <c r="F6" s="21">
        <v>360</v>
      </c>
      <c r="G6" s="11">
        <f t="shared" si="2"/>
        <v>24.6875</v>
      </c>
    </row>
    <row r="7" spans="1:7" ht="15">
      <c r="A7" s="5" t="s">
        <v>109</v>
      </c>
      <c r="B7" s="20">
        <v>7684</v>
      </c>
      <c r="C7" s="20">
        <v>6852</v>
      </c>
      <c r="D7" s="8">
        <f t="shared" si="1"/>
        <v>1713</v>
      </c>
      <c r="E7" s="12">
        <f t="shared" si="0"/>
        <v>8565</v>
      </c>
      <c r="F7" s="21">
        <v>485</v>
      </c>
      <c r="G7" s="11">
        <f t="shared" si="2"/>
        <v>17.65979381443299</v>
      </c>
    </row>
    <row r="8" spans="1:9" ht="15">
      <c r="A8" s="6" t="s">
        <v>91</v>
      </c>
      <c r="B8" s="20">
        <v>9143</v>
      </c>
      <c r="C8" s="20">
        <v>6717</v>
      </c>
      <c r="D8" s="8">
        <f t="shared" si="1"/>
        <v>1679.25</v>
      </c>
      <c r="E8" s="12">
        <f t="shared" si="0"/>
        <v>8396.25</v>
      </c>
      <c r="F8" s="21">
        <v>400</v>
      </c>
      <c r="G8" s="11">
        <f t="shared" si="2"/>
        <v>20.990625</v>
      </c>
      <c r="I8" s="19"/>
    </row>
    <row r="9" spans="1:7" ht="15">
      <c r="A9" s="5" t="s">
        <v>110</v>
      </c>
      <c r="B9" s="20">
        <v>3179</v>
      </c>
      <c r="C9" s="20">
        <v>3116</v>
      </c>
      <c r="D9" s="8">
        <f t="shared" si="1"/>
        <v>779</v>
      </c>
      <c r="E9" s="12">
        <f t="shared" si="0"/>
        <v>3895</v>
      </c>
      <c r="F9" s="21">
        <v>160</v>
      </c>
      <c r="G9" s="11">
        <f t="shared" si="2"/>
        <v>24.34375</v>
      </c>
    </row>
    <row r="10" spans="1:7" ht="15">
      <c r="A10" s="6" t="s">
        <v>111</v>
      </c>
      <c r="B10" s="20">
        <v>9448</v>
      </c>
      <c r="C10" s="20">
        <v>8095</v>
      </c>
      <c r="D10" s="8">
        <f t="shared" si="1"/>
        <v>2023.75</v>
      </c>
      <c r="E10" s="12">
        <f t="shared" si="0"/>
        <v>10118.75</v>
      </c>
      <c r="F10" s="21">
        <v>430</v>
      </c>
      <c r="G10" s="11">
        <f t="shared" si="2"/>
        <v>23.531976744186046</v>
      </c>
    </row>
    <row r="11" spans="1:7" ht="15">
      <c r="A11" s="5" t="s">
        <v>90</v>
      </c>
      <c r="B11" s="20">
        <v>10142</v>
      </c>
      <c r="C11" s="20">
        <v>8138</v>
      </c>
      <c r="D11" s="8">
        <f t="shared" si="1"/>
        <v>2034.5</v>
      </c>
      <c r="E11" s="12">
        <f t="shared" si="0"/>
        <v>10172.5</v>
      </c>
      <c r="F11" s="21">
        <v>370</v>
      </c>
      <c r="G11" s="11">
        <f t="shared" si="2"/>
        <v>27.493243243243242</v>
      </c>
    </row>
    <row r="12" spans="1:7" ht="15">
      <c r="A12" s="5" t="s">
        <v>112</v>
      </c>
      <c r="B12" s="20">
        <v>10675</v>
      </c>
      <c r="C12" s="20">
        <v>8720</v>
      </c>
      <c r="D12" s="8">
        <f t="shared" si="1"/>
        <v>2180</v>
      </c>
      <c r="E12" s="12">
        <f t="shared" si="0"/>
        <v>10900</v>
      </c>
      <c r="F12" s="21">
        <v>425</v>
      </c>
      <c r="G12" s="11">
        <f t="shared" si="2"/>
        <v>25.647058823529413</v>
      </c>
    </row>
    <row r="13" spans="1:7" ht="15">
      <c r="A13" s="6" t="s">
        <v>136</v>
      </c>
      <c r="B13" s="20">
        <v>7817</v>
      </c>
      <c r="C13" s="20">
        <v>1326</v>
      </c>
      <c r="D13" s="8">
        <f t="shared" si="1"/>
        <v>331.5</v>
      </c>
      <c r="E13" s="12">
        <f t="shared" si="0"/>
        <v>1657.5</v>
      </c>
      <c r="F13" s="21">
        <v>620</v>
      </c>
      <c r="G13" s="11">
        <f t="shared" si="2"/>
        <v>2.6733870967741935</v>
      </c>
    </row>
    <row r="14" spans="1:7" ht="15">
      <c r="A14" s="5" t="s">
        <v>113</v>
      </c>
      <c r="B14" s="20">
        <v>8935</v>
      </c>
      <c r="C14" s="20">
        <v>5235</v>
      </c>
      <c r="D14" s="8">
        <f t="shared" si="1"/>
        <v>1308.75</v>
      </c>
      <c r="E14" s="12">
        <f t="shared" si="0"/>
        <v>6543.75</v>
      </c>
      <c r="F14" s="21">
        <v>375</v>
      </c>
      <c r="G14" s="11">
        <f t="shared" si="2"/>
        <v>17.45</v>
      </c>
    </row>
    <row r="15" spans="1:7" ht="15">
      <c r="A15" s="6" t="s">
        <v>114</v>
      </c>
      <c r="B15" s="20">
        <v>569</v>
      </c>
      <c r="C15" s="20">
        <v>605</v>
      </c>
      <c r="D15" s="8">
        <f t="shared" si="1"/>
        <v>151.25</v>
      </c>
      <c r="E15" s="12">
        <f t="shared" si="0"/>
        <v>756.25</v>
      </c>
      <c r="F15" s="21">
        <v>0</v>
      </c>
      <c r="G15" s="11"/>
    </row>
    <row r="16" spans="1:7" ht="15">
      <c r="A16" s="5" t="s">
        <v>115</v>
      </c>
      <c r="B16" s="20">
        <v>7669</v>
      </c>
      <c r="C16" s="20">
        <v>5986</v>
      </c>
      <c r="D16" s="8">
        <f t="shared" si="1"/>
        <v>1496.5</v>
      </c>
      <c r="E16" s="12">
        <f t="shared" si="0"/>
        <v>7482.5</v>
      </c>
      <c r="F16" s="21">
        <v>480</v>
      </c>
      <c r="G16" s="11">
        <f t="shared" si="2"/>
        <v>15.588541666666666</v>
      </c>
    </row>
    <row r="17" spans="1:7" ht="15">
      <c r="A17" s="5" t="s">
        <v>116</v>
      </c>
      <c r="B17" s="20">
        <v>7817</v>
      </c>
      <c r="C17" s="20">
        <v>3632</v>
      </c>
      <c r="D17" s="8">
        <f t="shared" si="1"/>
        <v>908</v>
      </c>
      <c r="E17" s="12">
        <f t="shared" si="0"/>
        <v>4540</v>
      </c>
      <c r="F17" s="21">
        <v>310</v>
      </c>
      <c r="G17" s="11">
        <f t="shared" si="2"/>
        <v>14.64516129032258</v>
      </c>
    </row>
    <row r="18" spans="1:7" ht="15">
      <c r="A18" s="5" t="s">
        <v>125</v>
      </c>
      <c r="B18" s="20">
        <v>13035</v>
      </c>
      <c r="C18" s="20">
        <v>11587</v>
      </c>
      <c r="D18" s="8">
        <f t="shared" si="1"/>
        <v>2896.75</v>
      </c>
      <c r="E18" s="12">
        <f t="shared" si="0"/>
        <v>14483.75</v>
      </c>
      <c r="F18" s="21">
        <v>720</v>
      </c>
      <c r="G18" s="11">
        <f t="shared" si="2"/>
        <v>20.116319444444443</v>
      </c>
    </row>
    <row r="19" spans="1:7" ht="15">
      <c r="A19" s="5" t="s">
        <v>117</v>
      </c>
      <c r="B19" s="20">
        <v>4305</v>
      </c>
      <c r="C19" s="20">
        <v>4302</v>
      </c>
      <c r="D19" s="8">
        <f t="shared" si="1"/>
        <v>1075.5</v>
      </c>
      <c r="E19" s="12">
        <f t="shared" si="0"/>
        <v>5377.5</v>
      </c>
      <c r="F19" s="21">
        <v>340</v>
      </c>
      <c r="G19" s="11">
        <f t="shared" si="2"/>
        <v>15.816176470588236</v>
      </c>
    </row>
    <row r="20" spans="1:7" ht="15">
      <c r="A20" s="6" t="s">
        <v>132</v>
      </c>
      <c r="B20" s="20">
        <v>2193</v>
      </c>
      <c r="C20" s="20">
        <v>1076</v>
      </c>
      <c r="D20" s="8">
        <f t="shared" si="1"/>
        <v>269</v>
      </c>
      <c r="E20" s="12">
        <f t="shared" si="0"/>
        <v>1345</v>
      </c>
      <c r="F20" s="21">
        <v>314</v>
      </c>
      <c r="G20" s="11">
        <f t="shared" si="2"/>
        <v>4.2834394904458595</v>
      </c>
    </row>
    <row r="21" spans="1:7" ht="15">
      <c r="A21" s="6" t="s">
        <v>118</v>
      </c>
      <c r="B21" s="20">
        <v>7295</v>
      </c>
      <c r="C21" s="20">
        <v>7004</v>
      </c>
      <c r="D21" s="8">
        <f t="shared" si="1"/>
        <v>1751</v>
      </c>
      <c r="E21" s="12">
        <f t="shared" si="0"/>
        <v>8755</v>
      </c>
      <c r="F21" s="21">
        <v>190</v>
      </c>
      <c r="G21" s="11">
        <f t="shared" si="2"/>
        <v>46.078947368421055</v>
      </c>
    </row>
    <row r="22" spans="1:7" ht="15">
      <c r="A22" s="6" t="s">
        <v>133</v>
      </c>
      <c r="B22" s="20">
        <v>8167</v>
      </c>
      <c r="C22" s="20">
        <v>987</v>
      </c>
      <c r="D22" s="8">
        <f t="shared" si="1"/>
        <v>246.75</v>
      </c>
      <c r="E22" s="12">
        <f t="shared" si="0"/>
        <v>1233.75</v>
      </c>
      <c r="F22" s="21">
        <v>790</v>
      </c>
      <c r="G22" s="11">
        <f t="shared" si="2"/>
        <v>1.5617088607594938</v>
      </c>
    </row>
    <row r="23" spans="1:7" ht="15">
      <c r="A23" s="6" t="s">
        <v>134</v>
      </c>
      <c r="B23" s="20">
        <v>1681</v>
      </c>
      <c r="C23" s="20">
        <v>788</v>
      </c>
      <c r="D23" s="8">
        <f t="shared" si="1"/>
        <v>197</v>
      </c>
      <c r="E23" s="12">
        <f t="shared" si="0"/>
        <v>985</v>
      </c>
      <c r="F23" s="21">
        <v>160</v>
      </c>
      <c r="G23" s="11">
        <f t="shared" si="2"/>
        <v>6.15625</v>
      </c>
    </row>
    <row r="24" spans="1:7" ht="15">
      <c r="A24" s="6" t="s">
        <v>126</v>
      </c>
      <c r="B24" s="20">
        <v>15700</v>
      </c>
      <c r="C24" s="20">
        <v>5388</v>
      </c>
      <c r="D24" s="8">
        <f t="shared" si="1"/>
        <v>1347</v>
      </c>
      <c r="E24" s="12">
        <f t="shared" si="0"/>
        <v>6735</v>
      </c>
      <c r="F24" s="21">
        <v>940</v>
      </c>
      <c r="G24" s="11">
        <f t="shared" si="2"/>
        <v>7.164893617021277</v>
      </c>
    </row>
    <row r="25" spans="1:7" ht="15">
      <c r="A25" s="6" t="s">
        <v>119</v>
      </c>
      <c r="B25" s="20">
        <v>9547</v>
      </c>
      <c r="C25" s="20">
        <v>9899</v>
      </c>
      <c r="D25" s="8">
        <f t="shared" si="1"/>
        <v>2474.75</v>
      </c>
      <c r="E25" s="12">
        <f t="shared" si="0"/>
        <v>12373.75</v>
      </c>
      <c r="F25" s="21">
        <v>365</v>
      </c>
      <c r="G25" s="11">
        <f t="shared" si="2"/>
        <v>33.90068493150685</v>
      </c>
    </row>
    <row r="26" spans="1:7" ht="15">
      <c r="A26" s="6" t="s">
        <v>120</v>
      </c>
      <c r="B26" s="20">
        <v>8491</v>
      </c>
      <c r="C26" s="20">
        <v>5143</v>
      </c>
      <c r="D26" s="8">
        <f t="shared" si="1"/>
        <v>1285.75</v>
      </c>
      <c r="E26" s="12">
        <f t="shared" si="0"/>
        <v>6428.75</v>
      </c>
      <c r="F26" s="21">
        <v>370</v>
      </c>
      <c r="G26" s="11">
        <f t="shared" si="2"/>
        <v>17.375</v>
      </c>
    </row>
    <row r="27" spans="1:7" ht="15">
      <c r="A27" s="9" t="s">
        <v>121</v>
      </c>
      <c r="B27" s="20">
        <v>2962</v>
      </c>
      <c r="C27" s="20">
        <v>2701</v>
      </c>
      <c r="D27" s="8">
        <f t="shared" si="1"/>
        <v>675.25</v>
      </c>
      <c r="E27" s="12">
        <f t="shared" si="0"/>
        <v>3376.25</v>
      </c>
      <c r="F27" s="21">
        <v>240</v>
      </c>
      <c r="G27" s="11">
        <f t="shared" si="2"/>
        <v>14.067708333333334</v>
      </c>
    </row>
    <row r="28" spans="1:7" ht="15">
      <c r="A28" s="6" t="s">
        <v>127</v>
      </c>
      <c r="B28" s="20">
        <v>10534</v>
      </c>
      <c r="C28" s="20">
        <v>9386</v>
      </c>
      <c r="D28" s="8">
        <f t="shared" si="1"/>
        <v>2346.5</v>
      </c>
      <c r="E28" s="12">
        <f t="shared" si="0"/>
        <v>11732.5</v>
      </c>
      <c r="F28" s="21">
        <v>550</v>
      </c>
      <c r="G28" s="11">
        <f t="shared" si="2"/>
        <v>21.331818181818182</v>
      </c>
    </row>
    <row r="29" spans="1:7" ht="15">
      <c r="A29" s="6" t="s">
        <v>92</v>
      </c>
      <c r="B29" s="20">
        <v>6783</v>
      </c>
      <c r="C29" s="20">
        <v>6029</v>
      </c>
      <c r="D29" s="8">
        <f t="shared" si="1"/>
        <v>1507.25</v>
      </c>
      <c r="E29" s="12">
        <f t="shared" si="0"/>
        <v>7536.25</v>
      </c>
      <c r="F29" s="21">
        <v>355</v>
      </c>
      <c r="G29" s="11">
        <f t="shared" si="2"/>
        <v>21.22887323943662</v>
      </c>
    </row>
    <row r="30" spans="1:7" ht="15">
      <c r="A30" s="6" t="s">
        <v>135</v>
      </c>
      <c r="B30" s="20">
        <v>3600</v>
      </c>
      <c r="C30" s="20">
        <v>1389</v>
      </c>
      <c r="D30" s="8">
        <f t="shared" si="1"/>
        <v>347.25</v>
      </c>
      <c r="E30" s="12">
        <f t="shared" si="0"/>
        <v>1736.25</v>
      </c>
      <c r="F30" s="21">
        <v>620</v>
      </c>
      <c r="G30" s="11">
        <f t="shared" si="2"/>
        <v>2.8004032258064515</v>
      </c>
    </row>
    <row r="31" spans="1:7" ht="15">
      <c r="A31" s="6" t="s">
        <v>122</v>
      </c>
      <c r="B31" s="20">
        <v>4466</v>
      </c>
      <c r="C31" s="20">
        <v>3686</v>
      </c>
      <c r="D31" s="8">
        <f t="shared" si="1"/>
        <v>921.5</v>
      </c>
      <c r="E31" s="12">
        <f t="shared" si="0"/>
        <v>4607.5</v>
      </c>
      <c r="F31" s="21">
        <v>175</v>
      </c>
      <c r="G31" s="11">
        <f t="shared" si="2"/>
        <v>26.32857142857143</v>
      </c>
    </row>
    <row r="32" spans="1:7" ht="15">
      <c r="A32" s="6" t="s">
        <v>128</v>
      </c>
      <c r="B32" s="20">
        <v>10218</v>
      </c>
      <c r="C32" s="20">
        <v>6472</v>
      </c>
      <c r="D32" s="8">
        <f t="shared" si="1"/>
        <v>1618</v>
      </c>
      <c r="E32" s="12">
        <f t="shared" si="0"/>
        <v>8090</v>
      </c>
      <c r="F32" s="21">
        <v>555</v>
      </c>
      <c r="G32" s="11">
        <f t="shared" si="2"/>
        <v>14.576576576576576</v>
      </c>
    </row>
    <row r="33" spans="1:7" ht="45">
      <c r="A33" s="2" t="s">
        <v>85</v>
      </c>
      <c r="B33" s="3" t="s">
        <v>87</v>
      </c>
      <c r="C33" s="3" t="s">
        <v>86</v>
      </c>
      <c r="D33" s="1" t="s">
        <v>140</v>
      </c>
      <c r="E33" s="3" t="s">
        <v>95</v>
      </c>
      <c r="F33" s="1" t="s">
        <v>96</v>
      </c>
      <c r="G33" s="4" t="s">
        <v>46</v>
      </c>
    </row>
    <row r="34" spans="1:7" ht="15">
      <c r="A34" s="6" t="s">
        <v>129</v>
      </c>
      <c r="B34" s="20">
        <v>1616</v>
      </c>
      <c r="C34" s="20">
        <v>717</v>
      </c>
      <c r="D34" s="8">
        <f t="shared" si="1"/>
        <v>179.25</v>
      </c>
      <c r="E34" s="8">
        <f aca="true" t="shared" si="3" ref="E34:E46">SUM(C34+D34)</f>
        <v>896.25</v>
      </c>
      <c r="F34" s="29">
        <v>430</v>
      </c>
      <c r="G34" s="11">
        <f t="shared" si="2"/>
        <v>2.0843023255813953</v>
      </c>
    </row>
    <row r="35" spans="1:7" ht="15">
      <c r="A35" s="6" t="s">
        <v>130</v>
      </c>
      <c r="B35" s="20">
        <v>265</v>
      </c>
      <c r="C35" s="20">
        <v>217</v>
      </c>
      <c r="D35" s="8">
        <f t="shared" si="1"/>
        <v>54.25</v>
      </c>
      <c r="E35" s="8">
        <f t="shared" si="3"/>
        <v>271.25</v>
      </c>
      <c r="F35" s="29">
        <v>60</v>
      </c>
      <c r="G35" s="11">
        <f t="shared" si="2"/>
        <v>4.520833333333333</v>
      </c>
    </row>
    <row r="36" spans="1:7" ht="15">
      <c r="A36" s="6" t="s">
        <v>123</v>
      </c>
      <c r="B36" s="20">
        <v>1905</v>
      </c>
      <c r="C36" s="20">
        <v>764</v>
      </c>
      <c r="D36" s="8">
        <f t="shared" si="1"/>
        <v>191</v>
      </c>
      <c r="E36" s="8">
        <f t="shared" si="3"/>
        <v>955</v>
      </c>
      <c r="F36" s="29">
        <v>200</v>
      </c>
      <c r="G36" s="11">
        <f t="shared" si="2"/>
        <v>4.775</v>
      </c>
    </row>
    <row r="37" spans="1:7" ht="15">
      <c r="A37" s="9" t="s">
        <v>97</v>
      </c>
      <c r="B37" s="20">
        <v>3790</v>
      </c>
      <c r="C37" s="20">
        <v>2157</v>
      </c>
      <c r="D37" s="8">
        <f t="shared" si="1"/>
        <v>539.25</v>
      </c>
      <c r="E37" s="8">
        <f t="shared" si="3"/>
        <v>2696.25</v>
      </c>
      <c r="F37" s="29">
        <v>175</v>
      </c>
      <c r="G37" s="11">
        <f t="shared" si="2"/>
        <v>15.407142857142857</v>
      </c>
    </row>
    <row r="38" spans="1:7" ht="15">
      <c r="A38" s="6" t="s">
        <v>131</v>
      </c>
      <c r="B38" s="20">
        <v>2399</v>
      </c>
      <c r="C38" s="20">
        <v>649</v>
      </c>
      <c r="D38" s="8">
        <f t="shared" si="1"/>
        <v>162.25</v>
      </c>
      <c r="E38" s="8">
        <f t="shared" si="3"/>
        <v>811.25</v>
      </c>
      <c r="F38" s="29">
        <v>294</v>
      </c>
      <c r="G38" s="11">
        <f t="shared" si="2"/>
        <v>2.7593537414965987</v>
      </c>
    </row>
    <row r="39" spans="1:7" ht="15">
      <c r="A39" s="6" t="s">
        <v>98</v>
      </c>
      <c r="B39" s="20">
        <v>7346</v>
      </c>
      <c r="C39" s="20">
        <v>7366</v>
      </c>
      <c r="D39" s="8">
        <f t="shared" si="1"/>
        <v>1841.5</v>
      </c>
      <c r="E39" s="8">
        <f t="shared" si="3"/>
        <v>9207.5</v>
      </c>
      <c r="F39" s="29">
        <v>160</v>
      </c>
      <c r="G39" s="11">
        <f t="shared" si="2"/>
        <v>57.546875</v>
      </c>
    </row>
    <row r="40" spans="1:7" ht="15">
      <c r="A40" s="5" t="s">
        <v>124</v>
      </c>
      <c r="B40" s="20">
        <v>9600</v>
      </c>
      <c r="C40" s="20">
        <v>9551</v>
      </c>
      <c r="D40" s="8">
        <f t="shared" si="1"/>
        <v>2387.75</v>
      </c>
      <c r="E40" s="8">
        <f t="shared" si="3"/>
        <v>11938.75</v>
      </c>
      <c r="F40" s="29">
        <v>530</v>
      </c>
      <c r="G40" s="11">
        <f t="shared" si="2"/>
        <v>22.525943396226417</v>
      </c>
    </row>
    <row r="41" spans="1:7" ht="15">
      <c r="A41" s="5" t="s">
        <v>93</v>
      </c>
      <c r="B41" s="20">
        <v>9806</v>
      </c>
      <c r="C41" s="20">
        <v>7754</v>
      </c>
      <c r="D41" s="8">
        <f t="shared" si="1"/>
        <v>1938.5</v>
      </c>
      <c r="E41" s="8">
        <f t="shared" si="3"/>
        <v>9692.5</v>
      </c>
      <c r="F41" s="29">
        <v>475</v>
      </c>
      <c r="G41" s="11">
        <f t="shared" si="2"/>
        <v>20.405263157894737</v>
      </c>
    </row>
    <row r="42" spans="1:7" ht="15">
      <c r="A42" s="5" t="s">
        <v>99</v>
      </c>
      <c r="B42" s="20">
        <v>9845</v>
      </c>
      <c r="C42" s="20">
        <v>7000</v>
      </c>
      <c r="D42" s="8">
        <f t="shared" si="1"/>
        <v>1750</v>
      </c>
      <c r="E42" s="8">
        <f t="shared" si="3"/>
        <v>8750</v>
      </c>
      <c r="F42" s="29">
        <v>465</v>
      </c>
      <c r="G42" s="11">
        <f t="shared" si="2"/>
        <v>18.817204301075268</v>
      </c>
    </row>
    <row r="43" spans="1:7" ht="15">
      <c r="A43" s="10" t="s">
        <v>100</v>
      </c>
      <c r="B43" s="20">
        <v>7568</v>
      </c>
      <c r="C43" s="20">
        <v>4336</v>
      </c>
      <c r="D43" s="8">
        <f t="shared" si="1"/>
        <v>1084</v>
      </c>
      <c r="E43" s="8">
        <f t="shared" si="3"/>
        <v>5420</v>
      </c>
      <c r="F43" s="29">
        <v>410</v>
      </c>
      <c r="G43" s="11">
        <f t="shared" si="2"/>
        <v>13.21951219512195</v>
      </c>
    </row>
    <row r="44" spans="1:7" ht="15">
      <c r="A44" s="6" t="s">
        <v>101</v>
      </c>
      <c r="B44" s="20">
        <v>15067</v>
      </c>
      <c r="C44" s="20">
        <v>9274</v>
      </c>
      <c r="D44" s="8">
        <f t="shared" si="1"/>
        <v>2318.5</v>
      </c>
      <c r="E44" s="8">
        <f t="shared" si="3"/>
        <v>11592.5</v>
      </c>
      <c r="F44" s="29">
        <v>1048.8</v>
      </c>
      <c r="G44" s="11">
        <f t="shared" si="2"/>
        <v>11.053108314263921</v>
      </c>
    </row>
    <row r="45" spans="1:7" ht="15">
      <c r="A45" s="5" t="s">
        <v>102</v>
      </c>
      <c r="B45" s="20">
        <v>10743</v>
      </c>
      <c r="C45" s="20">
        <v>8026</v>
      </c>
      <c r="D45" s="8">
        <f t="shared" si="1"/>
        <v>2006.5</v>
      </c>
      <c r="E45" s="8">
        <f t="shared" si="3"/>
        <v>10032.5</v>
      </c>
      <c r="F45" s="29">
        <v>550</v>
      </c>
      <c r="G45" s="11">
        <f t="shared" si="2"/>
        <v>18.240909090909092</v>
      </c>
    </row>
    <row r="46" spans="1:7" ht="15">
      <c r="A46" s="5" t="s">
        <v>103</v>
      </c>
      <c r="B46" s="20">
        <v>4998</v>
      </c>
      <c r="C46" s="20">
        <v>1384</v>
      </c>
      <c r="D46" s="8">
        <f t="shared" si="1"/>
        <v>346</v>
      </c>
      <c r="E46" s="8">
        <f t="shared" si="3"/>
        <v>1730</v>
      </c>
      <c r="F46" s="29">
        <v>140</v>
      </c>
      <c r="G46" s="11">
        <f t="shared" si="2"/>
        <v>12.357142857142858</v>
      </c>
    </row>
    <row r="47" spans="1:7" ht="15.75" thickBot="1">
      <c r="A47" s="5" t="s">
        <v>137</v>
      </c>
      <c r="B47" s="7"/>
      <c r="C47" s="7"/>
      <c r="D47" s="7"/>
      <c r="E47" s="7"/>
      <c r="F47" s="30">
        <v>2700</v>
      </c>
      <c r="G47" s="11"/>
    </row>
    <row r="48" spans="1:7" ht="15">
      <c r="A48" s="6"/>
      <c r="B48" s="7"/>
      <c r="C48" s="7"/>
      <c r="D48" s="7"/>
      <c r="E48" s="7"/>
      <c r="F48" s="7"/>
      <c r="G48" s="11"/>
    </row>
    <row r="49" spans="1:7" ht="15">
      <c r="A49" s="14" t="s">
        <v>139</v>
      </c>
      <c r="B49" s="18">
        <f>SUM(B2:B48)</f>
        <v>320618</v>
      </c>
      <c r="C49" s="18">
        <f>SUM(C2:C48)</f>
        <v>228532</v>
      </c>
      <c r="D49" s="18">
        <f>SUM(D2:D48)</f>
        <v>57133</v>
      </c>
      <c r="E49" s="18">
        <f>SUM(E2:E48)</f>
        <v>285665</v>
      </c>
      <c r="F49" s="15">
        <f>SUM(F2:F48)</f>
        <v>20391.8</v>
      </c>
      <c r="G49" s="11">
        <f>AVERAGE(G2:G48)</f>
        <v>17.70704909204556</v>
      </c>
    </row>
    <row r="50" spans="1:7" ht="15">
      <c r="A50" s="13"/>
      <c r="B50" s="2"/>
      <c r="C50" s="2"/>
      <c r="D50" s="2"/>
      <c r="E50" s="2"/>
      <c r="F50" s="2"/>
      <c r="G50" s="2"/>
    </row>
    <row r="51" spans="1:7" ht="15">
      <c r="A51" s="14"/>
      <c r="B51" s="14"/>
      <c r="C51" s="14"/>
      <c r="D51" s="14"/>
      <c r="E51" s="14"/>
      <c r="F51" s="14"/>
      <c r="G51" s="14"/>
    </row>
  </sheetData>
  <printOptions/>
  <pageMargins left="0.2" right="0.2" top="0.5" bottom="0.5" header="0.05" footer="0"/>
  <pageSetup horizontalDpi="600" verticalDpi="600" orientation="landscape"/>
  <headerFooter alignWithMargins="0">
    <oddHeader>&amp;C&amp;14Meals Per Lbor Hour Calculation Work Sheet &amp;"-,Bold" &amp;K09-048October&amp;K01+000 &amp;KFF00002011 -2012  SY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B51" sqref="B51"/>
    </sheetView>
  </sheetViews>
  <sheetFormatPr defaultColWidth="8.57421875" defaultRowHeight="15"/>
  <cols>
    <col min="1" max="1" width="37.8515625" style="22" customWidth="1"/>
    <col min="2" max="2" width="11.8515625" style="22" customWidth="1"/>
    <col min="3" max="3" width="12.28125" style="22" customWidth="1"/>
    <col min="4" max="4" width="12.00390625" style="22" customWidth="1"/>
    <col min="5" max="5" width="13.57421875" style="22" customWidth="1"/>
    <col min="6" max="6" width="11.00390625" style="22" customWidth="1"/>
    <col min="7" max="7" width="14.28125" style="22" customWidth="1"/>
    <col min="8" max="16384" width="8.57421875" style="22" customWidth="1"/>
  </cols>
  <sheetData>
    <row r="1" spans="1:7" ht="63.75" customHeight="1">
      <c r="A1" s="2" t="s">
        <v>85</v>
      </c>
      <c r="B1" s="3" t="s">
        <v>87</v>
      </c>
      <c r="C1" s="3" t="s">
        <v>86</v>
      </c>
      <c r="D1" s="3" t="s">
        <v>94</v>
      </c>
      <c r="E1" s="3" t="s">
        <v>95</v>
      </c>
      <c r="F1" s="1" t="s">
        <v>96</v>
      </c>
      <c r="G1" s="4" t="s">
        <v>45</v>
      </c>
    </row>
    <row r="2" spans="1:7" ht="15">
      <c r="A2" s="25" t="s">
        <v>104</v>
      </c>
      <c r="B2" s="20">
        <v>599</v>
      </c>
      <c r="C2" s="20">
        <v>8696</v>
      </c>
      <c r="D2" s="8">
        <f>C2/4</f>
        <v>2174</v>
      </c>
      <c r="E2" s="12">
        <f aca="true" t="shared" si="0" ref="E2:E32">SUM(C2+D2)</f>
        <v>10870</v>
      </c>
      <c r="F2" s="31">
        <v>333</v>
      </c>
      <c r="G2" s="11">
        <f>E2/F2</f>
        <v>32.64264264264264</v>
      </c>
    </row>
    <row r="3" spans="1:7" ht="15">
      <c r="A3" s="25" t="s">
        <v>105</v>
      </c>
      <c r="B3" s="20">
        <v>2449</v>
      </c>
      <c r="C3" s="20">
        <v>6439</v>
      </c>
      <c r="D3" s="8">
        <f aca="true" t="shared" si="1" ref="D3:D46">C3/4</f>
        <v>1609.75</v>
      </c>
      <c r="E3" s="12">
        <f t="shared" si="0"/>
        <v>8048.75</v>
      </c>
      <c r="F3" s="31">
        <v>328.5</v>
      </c>
      <c r="G3" s="11">
        <f>E3/F3</f>
        <v>24.50152207001522</v>
      </c>
    </row>
    <row r="4" spans="1:7" ht="15">
      <c r="A4" s="23" t="s">
        <v>106</v>
      </c>
      <c r="B4" s="20">
        <v>530</v>
      </c>
      <c r="C4" s="20">
        <v>6433</v>
      </c>
      <c r="D4" s="8">
        <f t="shared" si="1"/>
        <v>1608.25</v>
      </c>
      <c r="E4" s="12">
        <f t="shared" si="0"/>
        <v>8041.25</v>
      </c>
      <c r="F4" s="31">
        <v>360</v>
      </c>
      <c r="G4" s="11">
        <f aca="true" t="shared" si="2" ref="G4:G46">E4/F4</f>
        <v>22.336805555555557</v>
      </c>
    </row>
    <row r="5" spans="1:7" ht="15">
      <c r="A5" s="23" t="s">
        <v>107</v>
      </c>
      <c r="B5" s="20">
        <v>6431</v>
      </c>
      <c r="C5" s="20">
        <v>2016</v>
      </c>
      <c r="D5" s="8">
        <f t="shared" si="1"/>
        <v>504</v>
      </c>
      <c r="E5" s="12">
        <f t="shared" si="0"/>
        <v>2520</v>
      </c>
      <c r="F5" s="31">
        <v>468</v>
      </c>
      <c r="G5" s="11">
        <f t="shared" si="2"/>
        <v>5.384615384615385</v>
      </c>
    </row>
    <row r="6" spans="1:7" ht="15">
      <c r="A6" s="23" t="s">
        <v>108</v>
      </c>
      <c r="B6" s="20">
        <v>8338</v>
      </c>
      <c r="C6" s="20">
        <v>5818</v>
      </c>
      <c r="D6" s="8">
        <f t="shared" si="1"/>
        <v>1454.5</v>
      </c>
      <c r="E6" s="12">
        <f t="shared" si="0"/>
        <v>7272.5</v>
      </c>
      <c r="F6" s="31">
        <v>324</v>
      </c>
      <c r="G6" s="11">
        <f t="shared" si="2"/>
        <v>22.445987654320987</v>
      </c>
    </row>
    <row r="7" spans="1:7" ht="15">
      <c r="A7" s="25" t="s">
        <v>109</v>
      </c>
      <c r="B7" s="20">
        <v>6928</v>
      </c>
      <c r="C7" s="20">
        <v>6400</v>
      </c>
      <c r="D7" s="8">
        <f t="shared" si="1"/>
        <v>1600</v>
      </c>
      <c r="E7" s="12">
        <f t="shared" si="0"/>
        <v>8000</v>
      </c>
      <c r="F7" s="31">
        <v>436.5</v>
      </c>
      <c r="G7" s="11">
        <f t="shared" si="2"/>
        <v>18.327605956471935</v>
      </c>
    </row>
    <row r="8" spans="1:9" ht="15">
      <c r="A8" s="23" t="s">
        <v>91</v>
      </c>
      <c r="B8" s="20">
        <v>6487</v>
      </c>
      <c r="C8" s="20">
        <v>5825</v>
      </c>
      <c r="D8" s="8">
        <f t="shared" si="1"/>
        <v>1456.25</v>
      </c>
      <c r="E8" s="12">
        <f t="shared" si="0"/>
        <v>7281.25</v>
      </c>
      <c r="F8" s="31">
        <v>360</v>
      </c>
      <c r="G8" s="11">
        <f t="shared" si="2"/>
        <v>20.225694444444443</v>
      </c>
      <c r="I8" s="28"/>
    </row>
    <row r="9" spans="1:7" ht="15">
      <c r="A9" s="25" t="s">
        <v>110</v>
      </c>
      <c r="B9" s="20">
        <v>4026</v>
      </c>
      <c r="C9" s="20">
        <v>2661</v>
      </c>
      <c r="D9" s="8">
        <f t="shared" si="1"/>
        <v>665.25</v>
      </c>
      <c r="E9" s="12">
        <f t="shared" si="0"/>
        <v>3326.25</v>
      </c>
      <c r="F9" s="31">
        <v>144</v>
      </c>
      <c r="G9" s="11">
        <f t="shared" si="2"/>
        <v>23.098958333333332</v>
      </c>
    </row>
    <row r="10" spans="1:7" ht="15">
      <c r="A10" s="23" t="s">
        <v>111</v>
      </c>
      <c r="B10" s="20">
        <v>8373</v>
      </c>
      <c r="C10" s="20">
        <v>6679</v>
      </c>
      <c r="D10" s="8">
        <f t="shared" si="1"/>
        <v>1669.75</v>
      </c>
      <c r="E10" s="12">
        <f t="shared" si="0"/>
        <v>8348.75</v>
      </c>
      <c r="F10" s="31">
        <v>387</v>
      </c>
      <c r="G10" s="11">
        <f t="shared" si="2"/>
        <v>21.572997416020673</v>
      </c>
    </row>
    <row r="11" spans="1:7" ht="15">
      <c r="A11" s="25" t="s">
        <v>90</v>
      </c>
      <c r="B11" s="20">
        <v>7248</v>
      </c>
      <c r="C11" s="20">
        <v>7082</v>
      </c>
      <c r="D11" s="8">
        <f t="shared" si="1"/>
        <v>1770.5</v>
      </c>
      <c r="E11" s="12">
        <f t="shared" si="0"/>
        <v>8852.5</v>
      </c>
      <c r="F11" s="31">
        <v>333</v>
      </c>
      <c r="G11" s="11">
        <f t="shared" si="2"/>
        <v>26.584084084084083</v>
      </c>
    </row>
    <row r="12" spans="1:7" ht="15">
      <c r="A12" s="25" t="s">
        <v>112</v>
      </c>
      <c r="B12" s="20">
        <v>1185</v>
      </c>
      <c r="C12" s="20">
        <v>7890</v>
      </c>
      <c r="D12" s="8">
        <f t="shared" si="1"/>
        <v>1972.5</v>
      </c>
      <c r="E12" s="12">
        <f t="shared" si="0"/>
        <v>9862.5</v>
      </c>
      <c r="F12" s="31">
        <v>382.5</v>
      </c>
      <c r="G12" s="11">
        <f t="shared" si="2"/>
        <v>25.784313725490197</v>
      </c>
    </row>
    <row r="13" spans="1:7" ht="15">
      <c r="A13" s="23" t="s">
        <v>136</v>
      </c>
      <c r="B13" s="20">
        <v>6480</v>
      </c>
      <c r="C13" s="20">
        <v>1205</v>
      </c>
      <c r="D13" s="8">
        <f t="shared" si="1"/>
        <v>301.25</v>
      </c>
      <c r="E13" s="12">
        <f t="shared" si="0"/>
        <v>1506.25</v>
      </c>
      <c r="F13" s="31">
        <v>558</v>
      </c>
      <c r="G13" s="11">
        <f t="shared" si="2"/>
        <v>2.699372759856631</v>
      </c>
    </row>
    <row r="14" spans="1:7" ht="15">
      <c r="A14" s="25" t="s">
        <v>113</v>
      </c>
      <c r="B14" s="20">
        <v>8408</v>
      </c>
      <c r="C14" s="20">
        <v>4553</v>
      </c>
      <c r="D14" s="8">
        <f t="shared" si="1"/>
        <v>1138.25</v>
      </c>
      <c r="E14" s="12">
        <f t="shared" si="0"/>
        <v>5691.25</v>
      </c>
      <c r="F14" s="31">
        <v>337.5</v>
      </c>
      <c r="G14" s="11">
        <f t="shared" si="2"/>
        <v>16.862962962962964</v>
      </c>
    </row>
    <row r="15" spans="1:7" ht="15">
      <c r="A15" s="23" t="s">
        <v>114</v>
      </c>
      <c r="B15" s="20">
        <v>520</v>
      </c>
      <c r="C15" s="20">
        <v>529</v>
      </c>
      <c r="D15" s="8">
        <f t="shared" si="1"/>
        <v>132.25</v>
      </c>
      <c r="E15" s="12">
        <f t="shared" si="0"/>
        <v>661.25</v>
      </c>
      <c r="F15" s="31">
        <v>0</v>
      </c>
      <c r="G15" s="11"/>
    </row>
    <row r="16" spans="1:7" ht="15">
      <c r="A16" s="25" t="s">
        <v>115</v>
      </c>
      <c r="B16" s="20">
        <v>6765</v>
      </c>
      <c r="C16" s="20">
        <v>4891</v>
      </c>
      <c r="D16" s="8">
        <f t="shared" si="1"/>
        <v>1222.75</v>
      </c>
      <c r="E16" s="12">
        <f t="shared" si="0"/>
        <v>6113.75</v>
      </c>
      <c r="F16" s="31">
        <v>432</v>
      </c>
      <c r="G16" s="11">
        <f t="shared" si="2"/>
        <v>14.152199074074074</v>
      </c>
    </row>
    <row r="17" spans="1:7" ht="15">
      <c r="A17" s="25" t="s">
        <v>116</v>
      </c>
      <c r="B17" s="20">
        <v>6911</v>
      </c>
      <c r="C17" s="20">
        <v>3195</v>
      </c>
      <c r="D17" s="8">
        <f t="shared" si="1"/>
        <v>798.75</v>
      </c>
      <c r="E17" s="12">
        <f t="shared" si="0"/>
        <v>3993.75</v>
      </c>
      <c r="F17" s="31">
        <v>279</v>
      </c>
      <c r="G17" s="11">
        <f t="shared" si="2"/>
        <v>14.314516129032258</v>
      </c>
    </row>
    <row r="18" spans="1:7" ht="15">
      <c r="A18" s="25" t="s">
        <v>125</v>
      </c>
      <c r="B18" s="20">
        <v>11475</v>
      </c>
      <c r="C18" s="20">
        <v>10364</v>
      </c>
      <c r="D18" s="8">
        <f t="shared" si="1"/>
        <v>2591</v>
      </c>
      <c r="E18" s="12">
        <f t="shared" si="0"/>
        <v>12955</v>
      </c>
      <c r="F18" s="31">
        <v>648</v>
      </c>
      <c r="G18" s="11">
        <f t="shared" si="2"/>
        <v>19.992283950617285</v>
      </c>
    </row>
    <row r="19" spans="1:7" ht="15">
      <c r="A19" s="25" t="s">
        <v>117</v>
      </c>
      <c r="B19" s="20">
        <v>3366</v>
      </c>
      <c r="C19" s="20">
        <v>3044</v>
      </c>
      <c r="D19" s="8">
        <f t="shared" si="1"/>
        <v>761</v>
      </c>
      <c r="E19" s="12">
        <f t="shared" si="0"/>
        <v>3805</v>
      </c>
      <c r="F19" s="31">
        <v>306</v>
      </c>
      <c r="G19" s="11">
        <f t="shared" si="2"/>
        <v>12.434640522875817</v>
      </c>
    </row>
    <row r="20" spans="1:7" ht="15">
      <c r="A20" s="23" t="s">
        <v>132</v>
      </c>
      <c r="B20" s="20">
        <v>2104</v>
      </c>
      <c r="C20" s="20">
        <v>1033</v>
      </c>
      <c r="D20" s="8">
        <f t="shared" si="1"/>
        <v>258.25</v>
      </c>
      <c r="E20" s="12">
        <f t="shared" si="0"/>
        <v>1291.25</v>
      </c>
      <c r="F20" s="31">
        <v>282.59999999999997</v>
      </c>
      <c r="G20" s="11">
        <f t="shared" si="2"/>
        <v>4.569179051663129</v>
      </c>
    </row>
    <row r="21" spans="1:7" ht="15">
      <c r="A21" s="23" t="s">
        <v>118</v>
      </c>
      <c r="B21" s="20">
        <v>6260</v>
      </c>
      <c r="C21" s="20">
        <v>6503</v>
      </c>
      <c r="D21" s="8">
        <f t="shared" si="1"/>
        <v>1625.75</v>
      </c>
      <c r="E21" s="12">
        <f t="shared" si="0"/>
        <v>8128.75</v>
      </c>
      <c r="F21" s="31">
        <v>171</v>
      </c>
      <c r="G21" s="11">
        <f t="shared" si="2"/>
        <v>47.53654970760234</v>
      </c>
    </row>
    <row r="22" spans="1:7" ht="15">
      <c r="A22" s="23" t="s">
        <v>133</v>
      </c>
      <c r="B22" s="20">
        <v>8170</v>
      </c>
      <c r="C22" s="20">
        <v>901</v>
      </c>
      <c r="D22" s="8">
        <f t="shared" si="1"/>
        <v>225.25</v>
      </c>
      <c r="E22" s="12">
        <f t="shared" si="0"/>
        <v>1126.25</v>
      </c>
      <c r="F22" s="31">
        <v>711</v>
      </c>
      <c r="G22" s="11">
        <f t="shared" si="2"/>
        <v>1.5840365682137834</v>
      </c>
    </row>
    <row r="23" spans="1:7" ht="15">
      <c r="A23" s="23" t="s">
        <v>134</v>
      </c>
      <c r="B23" s="20">
        <v>1688</v>
      </c>
      <c r="C23" s="20">
        <v>798</v>
      </c>
      <c r="D23" s="8">
        <f t="shared" si="1"/>
        <v>199.5</v>
      </c>
      <c r="E23" s="12">
        <f t="shared" si="0"/>
        <v>997.5</v>
      </c>
      <c r="F23" s="31">
        <v>144</v>
      </c>
      <c r="G23" s="11">
        <f t="shared" si="2"/>
        <v>6.927083333333333</v>
      </c>
    </row>
    <row r="24" spans="1:7" ht="15">
      <c r="A24" s="23" t="s">
        <v>126</v>
      </c>
      <c r="B24" s="20">
        <v>13142</v>
      </c>
      <c r="C24" s="20">
        <v>4251</v>
      </c>
      <c r="D24" s="8">
        <f t="shared" si="1"/>
        <v>1062.75</v>
      </c>
      <c r="E24" s="12">
        <f t="shared" si="0"/>
        <v>5313.75</v>
      </c>
      <c r="F24" s="31">
        <v>846</v>
      </c>
      <c r="G24" s="11">
        <f t="shared" si="2"/>
        <v>6.281028368794326</v>
      </c>
    </row>
    <row r="25" spans="1:7" ht="15">
      <c r="A25" s="23" t="s">
        <v>119</v>
      </c>
      <c r="B25" s="20">
        <v>8778</v>
      </c>
      <c r="C25" s="20">
        <v>8713</v>
      </c>
      <c r="D25" s="8">
        <f t="shared" si="1"/>
        <v>2178.25</v>
      </c>
      <c r="E25" s="12">
        <f t="shared" si="0"/>
        <v>10891.25</v>
      </c>
      <c r="F25" s="31">
        <v>328.5</v>
      </c>
      <c r="G25" s="11">
        <f t="shared" si="2"/>
        <v>33.1544901065449</v>
      </c>
    </row>
    <row r="26" spans="1:7" ht="15">
      <c r="A26" s="23" t="s">
        <v>120</v>
      </c>
      <c r="B26" s="20">
        <v>7555</v>
      </c>
      <c r="C26" s="20">
        <v>4466</v>
      </c>
      <c r="D26" s="8">
        <f t="shared" si="1"/>
        <v>1116.5</v>
      </c>
      <c r="E26" s="12">
        <f t="shared" si="0"/>
        <v>5582.5</v>
      </c>
      <c r="F26" s="31">
        <v>333</v>
      </c>
      <c r="G26" s="11">
        <f t="shared" si="2"/>
        <v>16.764264264264263</v>
      </c>
    </row>
    <row r="27" spans="1:7" ht="15">
      <c r="A27" s="24" t="s">
        <v>121</v>
      </c>
      <c r="B27" s="20">
        <v>2600</v>
      </c>
      <c r="C27" s="20">
        <v>2516</v>
      </c>
      <c r="D27" s="8">
        <f t="shared" si="1"/>
        <v>629</v>
      </c>
      <c r="E27" s="12">
        <f t="shared" si="0"/>
        <v>3145</v>
      </c>
      <c r="F27" s="31">
        <v>216</v>
      </c>
      <c r="G27" s="11">
        <f t="shared" si="2"/>
        <v>14.560185185185185</v>
      </c>
    </row>
    <row r="28" spans="1:7" ht="15">
      <c r="A28" s="23" t="s">
        <v>127</v>
      </c>
      <c r="B28" s="20">
        <v>8651</v>
      </c>
      <c r="C28" s="20">
        <v>8577</v>
      </c>
      <c r="D28" s="8">
        <f t="shared" si="1"/>
        <v>2144.25</v>
      </c>
      <c r="E28" s="12">
        <f t="shared" si="0"/>
        <v>10721.25</v>
      </c>
      <c r="F28" s="31">
        <v>495</v>
      </c>
      <c r="G28" s="11">
        <f t="shared" si="2"/>
        <v>21.65909090909091</v>
      </c>
    </row>
    <row r="29" spans="1:7" ht="15">
      <c r="A29" s="23" t="s">
        <v>92</v>
      </c>
      <c r="B29" s="20">
        <v>6026</v>
      </c>
      <c r="C29" s="20">
        <v>5622</v>
      </c>
      <c r="D29" s="8">
        <f t="shared" si="1"/>
        <v>1405.5</v>
      </c>
      <c r="E29" s="12">
        <f t="shared" si="0"/>
        <v>7027.5</v>
      </c>
      <c r="F29" s="31">
        <v>319.5</v>
      </c>
      <c r="G29" s="11">
        <f t="shared" si="2"/>
        <v>21.995305164319248</v>
      </c>
    </row>
    <row r="30" spans="1:7" ht="15">
      <c r="A30" s="23" t="s">
        <v>135</v>
      </c>
      <c r="B30" s="20">
        <v>3149</v>
      </c>
      <c r="C30" s="20">
        <v>1343</v>
      </c>
      <c r="D30" s="8">
        <f t="shared" si="1"/>
        <v>335.75</v>
      </c>
      <c r="E30" s="12">
        <f t="shared" si="0"/>
        <v>1678.75</v>
      </c>
      <c r="F30" s="31">
        <v>558</v>
      </c>
      <c r="G30" s="11">
        <f t="shared" si="2"/>
        <v>3.0085125448028673</v>
      </c>
    </row>
    <row r="31" spans="1:7" ht="15">
      <c r="A31" s="23" t="s">
        <v>122</v>
      </c>
      <c r="B31" s="20">
        <v>3623</v>
      </c>
      <c r="C31" s="20">
        <v>3155</v>
      </c>
      <c r="D31" s="8">
        <f t="shared" si="1"/>
        <v>788.75</v>
      </c>
      <c r="E31" s="12">
        <f t="shared" si="0"/>
        <v>3943.75</v>
      </c>
      <c r="F31" s="31">
        <v>157.5</v>
      </c>
      <c r="G31" s="11">
        <f t="shared" si="2"/>
        <v>25.03968253968254</v>
      </c>
    </row>
    <row r="32" spans="1:7" ht="15">
      <c r="A32" s="23" t="s">
        <v>128</v>
      </c>
      <c r="B32" s="20">
        <v>8937</v>
      </c>
      <c r="C32" s="20">
        <v>5406</v>
      </c>
      <c r="D32" s="8">
        <f t="shared" si="1"/>
        <v>1351.5</v>
      </c>
      <c r="E32" s="12">
        <f t="shared" si="0"/>
        <v>6757.5</v>
      </c>
      <c r="F32" s="31">
        <v>499.5</v>
      </c>
      <c r="G32" s="11">
        <f t="shared" si="2"/>
        <v>13.528528528528529</v>
      </c>
    </row>
    <row r="33" spans="1:7" ht="45">
      <c r="A33" s="2" t="s">
        <v>85</v>
      </c>
      <c r="B33" s="3" t="s">
        <v>87</v>
      </c>
      <c r="C33" s="3" t="s">
        <v>86</v>
      </c>
      <c r="D33" s="1" t="s">
        <v>140</v>
      </c>
      <c r="E33" s="3" t="s">
        <v>88</v>
      </c>
      <c r="F33" s="3" t="s">
        <v>89</v>
      </c>
      <c r="G33" s="4" t="s">
        <v>46</v>
      </c>
    </row>
    <row r="34" spans="1:7" ht="15">
      <c r="A34" s="23" t="s">
        <v>129</v>
      </c>
      <c r="B34" s="20">
        <v>2793</v>
      </c>
      <c r="C34" s="20">
        <v>651</v>
      </c>
      <c r="D34" s="8">
        <f t="shared" si="1"/>
        <v>162.75</v>
      </c>
      <c r="E34" s="8">
        <f aca="true" t="shared" si="3" ref="E34:E46">SUM(C34+D34)</f>
        <v>813.75</v>
      </c>
      <c r="F34" s="39">
        <v>387</v>
      </c>
      <c r="G34" s="11">
        <f t="shared" si="2"/>
        <v>2.102713178294574</v>
      </c>
    </row>
    <row r="35" spans="1:7" ht="15">
      <c r="A35" s="23" t="s">
        <v>130</v>
      </c>
      <c r="B35" s="20">
        <v>279</v>
      </c>
      <c r="C35" s="20">
        <v>175</v>
      </c>
      <c r="D35" s="8">
        <f t="shared" si="1"/>
        <v>43.75</v>
      </c>
      <c r="E35" s="8">
        <f t="shared" si="3"/>
        <v>218.75</v>
      </c>
      <c r="F35" s="39">
        <v>54</v>
      </c>
      <c r="G35" s="11">
        <f t="shared" si="2"/>
        <v>4.050925925925926</v>
      </c>
    </row>
    <row r="36" spans="1:7" ht="15">
      <c r="A36" s="23" t="s">
        <v>123</v>
      </c>
      <c r="B36" s="20">
        <v>1690</v>
      </c>
      <c r="C36" s="20">
        <v>599</v>
      </c>
      <c r="D36" s="8">
        <f t="shared" si="1"/>
        <v>149.75</v>
      </c>
      <c r="E36" s="8">
        <f t="shared" si="3"/>
        <v>748.75</v>
      </c>
      <c r="F36" s="39">
        <v>180</v>
      </c>
      <c r="G36" s="11">
        <f t="shared" si="2"/>
        <v>4.159722222222222</v>
      </c>
    </row>
    <row r="37" spans="1:7" ht="15">
      <c r="A37" s="24" t="s">
        <v>97</v>
      </c>
      <c r="B37" s="20">
        <v>4237</v>
      </c>
      <c r="C37" s="20">
        <v>2449</v>
      </c>
      <c r="D37" s="8">
        <f t="shared" si="1"/>
        <v>612.25</v>
      </c>
      <c r="E37" s="8">
        <f t="shared" si="3"/>
        <v>3061.25</v>
      </c>
      <c r="F37" s="39">
        <v>157.5</v>
      </c>
      <c r="G37" s="11">
        <f t="shared" si="2"/>
        <v>19.436507936507937</v>
      </c>
    </row>
    <row r="38" spans="1:7" ht="15">
      <c r="A38" s="23" t="s">
        <v>131</v>
      </c>
      <c r="B38" s="20">
        <v>1496</v>
      </c>
      <c r="C38" s="20">
        <v>530</v>
      </c>
      <c r="D38" s="8">
        <f t="shared" si="1"/>
        <v>132.5</v>
      </c>
      <c r="E38" s="8">
        <f t="shared" si="3"/>
        <v>662.5</v>
      </c>
      <c r="F38" s="39">
        <v>264.59999999999997</v>
      </c>
      <c r="G38" s="11">
        <f t="shared" si="2"/>
        <v>2.5037792894935755</v>
      </c>
    </row>
    <row r="39" spans="1:7" ht="15">
      <c r="A39" s="23" t="s">
        <v>98</v>
      </c>
      <c r="B39" s="20">
        <v>6480</v>
      </c>
      <c r="C39" s="20">
        <v>6431</v>
      </c>
      <c r="D39" s="8">
        <f t="shared" si="1"/>
        <v>1607.75</v>
      </c>
      <c r="E39" s="8">
        <f t="shared" si="3"/>
        <v>8038.75</v>
      </c>
      <c r="F39" s="39">
        <v>144</v>
      </c>
      <c r="G39" s="11">
        <f t="shared" si="2"/>
        <v>55.82465277777778</v>
      </c>
    </row>
    <row r="40" spans="1:7" ht="15">
      <c r="A40" s="25" t="s">
        <v>124</v>
      </c>
      <c r="B40" s="20">
        <v>8553</v>
      </c>
      <c r="C40" s="20">
        <v>8338</v>
      </c>
      <c r="D40" s="8">
        <f t="shared" si="1"/>
        <v>2084.5</v>
      </c>
      <c r="E40" s="8">
        <f t="shared" si="3"/>
        <v>10422.5</v>
      </c>
      <c r="F40" s="39">
        <v>477</v>
      </c>
      <c r="G40" s="11">
        <f t="shared" si="2"/>
        <v>21.850104821802937</v>
      </c>
    </row>
    <row r="41" spans="1:7" ht="15">
      <c r="A41" s="25" t="s">
        <v>93</v>
      </c>
      <c r="B41" s="20">
        <v>8779</v>
      </c>
      <c r="C41" s="20">
        <v>6928</v>
      </c>
      <c r="D41" s="8">
        <f t="shared" si="1"/>
        <v>1732</v>
      </c>
      <c r="E41" s="8">
        <f t="shared" si="3"/>
        <v>8660</v>
      </c>
      <c r="F41" s="39">
        <v>427.5</v>
      </c>
      <c r="G41" s="11">
        <f t="shared" si="2"/>
        <v>20.257309941520468</v>
      </c>
    </row>
    <row r="42" spans="1:7" ht="15">
      <c r="A42" s="25" t="s">
        <v>99</v>
      </c>
      <c r="B42" s="20">
        <v>8648</v>
      </c>
      <c r="C42" s="20">
        <v>6487</v>
      </c>
      <c r="D42" s="8">
        <f t="shared" si="1"/>
        <v>1621.75</v>
      </c>
      <c r="E42" s="8">
        <f t="shared" si="3"/>
        <v>8108.75</v>
      </c>
      <c r="F42" s="39">
        <v>418.5</v>
      </c>
      <c r="G42" s="11">
        <f t="shared" si="2"/>
        <v>19.37574671445639</v>
      </c>
    </row>
    <row r="43" spans="1:7" ht="15">
      <c r="A43" s="26" t="s">
        <v>100</v>
      </c>
      <c r="B43" s="20">
        <v>6517</v>
      </c>
      <c r="C43" s="20">
        <v>4026</v>
      </c>
      <c r="D43" s="8">
        <f t="shared" si="1"/>
        <v>1006.5</v>
      </c>
      <c r="E43" s="8">
        <f t="shared" si="3"/>
        <v>5032.5</v>
      </c>
      <c r="F43" s="39">
        <v>369</v>
      </c>
      <c r="G43" s="11">
        <f t="shared" si="2"/>
        <v>13.638211382113822</v>
      </c>
    </row>
    <row r="44" spans="1:7" ht="15">
      <c r="A44" s="23" t="s">
        <v>101</v>
      </c>
      <c r="B44" s="20">
        <v>13300</v>
      </c>
      <c r="C44" s="20">
        <v>8373</v>
      </c>
      <c r="D44" s="8">
        <f t="shared" si="1"/>
        <v>2093.25</v>
      </c>
      <c r="E44" s="8">
        <f t="shared" si="3"/>
        <v>10466.25</v>
      </c>
      <c r="F44" s="39">
        <v>943.92</v>
      </c>
      <c r="G44" s="11">
        <f t="shared" si="2"/>
        <v>11.08806890414442</v>
      </c>
    </row>
    <row r="45" spans="1:7" ht="15">
      <c r="A45" s="25" t="s">
        <v>102</v>
      </c>
      <c r="B45" s="20">
        <v>9676</v>
      </c>
      <c r="C45" s="20">
        <v>7248</v>
      </c>
      <c r="D45" s="8">
        <f t="shared" si="1"/>
        <v>1812</v>
      </c>
      <c r="E45" s="8">
        <f t="shared" si="3"/>
        <v>9060</v>
      </c>
      <c r="F45" s="39">
        <v>495</v>
      </c>
      <c r="G45" s="11">
        <f t="shared" si="2"/>
        <v>18.303030303030305</v>
      </c>
    </row>
    <row r="46" spans="1:7" ht="15">
      <c r="A46" s="25" t="s">
        <v>103</v>
      </c>
      <c r="B46" s="20">
        <v>4314</v>
      </c>
      <c r="C46" s="20">
        <v>1185</v>
      </c>
      <c r="D46" s="8">
        <f t="shared" si="1"/>
        <v>296.25</v>
      </c>
      <c r="E46" s="8">
        <f t="shared" si="3"/>
        <v>1481.25</v>
      </c>
      <c r="F46" s="39">
        <v>126</v>
      </c>
      <c r="G46" s="11">
        <f t="shared" si="2"/>
        <v>11.755952380952381</v>
      </c>
    </row>
    <row r="47" spans="1:7" ht="15.75" thickBot="1">
      <c r="A47" s="25" t="s">
        <v>137</v>
      </c>
      <c r="B47" s="7"/>
      <c r="C47" s="7"/>
      <c r="D47" s="7"/>
      <c r="E47" s="7"/>
      <c r="F47" s="40">
        <v>2430</v>
      </c>
      <c r="G47" s="11"/>
    </row>
    <row r="48" spans="1:7" ht="15">
      <c r="A48" s="23"/>
      <c r="B48" s="7"/>
      <c r="C48" s="7"/>
      <c r="D48" s="7"/>
      <c r="E48" s="7"/>
      <c r="F48" s="7"/>
      <c r="G48" s="11"/>
    </row>
    <row r="49" spans="1:7" ht="15">
      <c r="A49" s="27" t="s">
        <v>138</v>
      </c>
      <c r="B49" s="17">
        <f>SUM(B2:B48)</f>
        <v>253964</v>
      </c>
      <c r="C49" s="17">
        <f>SUM(C2:C48)</f>
        <v>200424</v>
      </c>
      <c r="D49" s="16">
        <f>SUM(D2:D48)</f>
        <v>50106</v>
      </c>
      <c r="E49" s="16">
        <f>SUM(E2:E48)</f>
        <v>250530</v>
      </c>
      <c r="F49" s="15">
        <f>SUM(F2:F48)</f>
        <v>18352.620000000003</v>
      </c>
      <c r="G49" s="11">
        <f>AVERAGE(G2:G48)</f>
        <v>17.309671272480966</v>
      </c>
    </row>
    <row r="50" spans="1:7" ht="15">
      <c r="A50" s="13"/>
      <c r="B50" s="2"/>
      <c r="C50" s="2"/>
      <c r="D50" s="2"/>
      <c r="E50" s="2"/>
      <c r="F50" s="2"/>
      <c r="G50" s="2"/>
    </row>
    <row r="51" spans="1:7" ht="15">
      <c r="A51" s="27"/>
      <c r="B51" s="27"/>
      <c r="C51" s="27"/>
      <c r="D51" s="27"/>
      <c r="E51" s="27"/>
      <c r="F51" s="27"/>
      <c r="G51" s="27"/>
    </row>
  </sheetData>
  <printOptions/>
  <pageMargins left="0.2" right="0.2" top="0.5" bottom="0.5" header="0.05" footer="0"/>
  <pageSetup horizontalDpi="600" verticalDpi="600" orientation="landscape"/>
  <headerFooter alignWithMargins="0">
    <oddHeader>&amp;C&amp;14Meals Per Lbor Hour Calculation Work Sheet&amp;"-,Bold"   &amp;K7030A0November&amp;K01+000  &amp;KFF00002011 -2012  SY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4">
      <selection activeCell="H47" sqref="H47"/>
    </sheetView>
  </sheetViews>
  <sheetFormatPr defaultColWidth="8.57421875" defaultRowHeight="15"/>
  <cols>
    <col min="1" max="1" width="37.8515625" style="32" customWidth="1"/>
    <col min="2" max="2" width="11.8515625" style="32" customWidth="1"/>
    <col min="3" max="3" width="12.28125" style="32" customWidth="1"/>
    <col min="4" max="4" width="12.00390625" style="32" customWidth="1"/>
    <col min="5" max="5" width="13.57421875" style="32" customWidth="1"/>
    <col min="6" max="6" width="11.00390625" style="32" customWidth="1"/>
    <col min="7" max="7" width="14.28125" style="32" customWidth="1"/>
    <col min="8" max="16384" width="8.57421875" style="32" customWidth="1"/>
  </cols>
  <sheetData>
    <row r="1" spans="1:7" ht="63.75" customHeight="1">
      <c r="A1" s="2" t="s">
        <v>85</v>
      </c>
      <c r="B1" s="3" t="s">
        <v>87</v>
      </c>
      <c r="C1" s="3" t="s">
        <v>86</v>
      </c>
      <c r="D1" s="3" t="s">
        <v>94</v>
      </c>
      <c r="E1" s="3" t="s">
        <v>95</v>
      </c>
      <c r="F1" s="1" t="s">
        <v>96</v>
      </c>
      <c r="G1" s="4" t="s">
        <v>45</v>
      </c>
    </row>
    <row r="2" spans="1:7" ht="15">
      <c r="A2" s="35" t="s">
        <v>104</v>
      </c>
      <c r="B2" s="41">
        <v>8010</v>
      </c>
      <c r="C2" s="41">
        <v>7402</v>
      </c>
      <c r="D2" s="8">
        <f>C2/4</f>
        <v>1850.5</v>
      </c>
      <c r="E2" s="12">
        <f aca="true" t="shared" si="0" ref="E2:E32">SUM(C2+D2)</f>
        <v>9252.5</v>
      </c>
      <c r="F2" s="42">
        <v>314.5</v>
      </c>
      <c r="G2" s="11">
        <f>E2/F2</f>
        <v>29.41971383147854</v>
      </c>
    </row>
    <row r="3" spans="1:7" ht="15">
      <c r="A3" s="35" t="s">
        <v>105</v>
      </c>
      <c r="B3" s="41">
        <v>6708</v>
      </c>
      <c r="C3" s="41">
        <v>5889</v>
      </c>
      <c r="D3" s="8">
        <f aca="true" t="shared" si="1" ref="D3:D46">C3/4</f>
        <v>1472.25</v>
      </c>
      <c r="E3" s="12">
        <f t="shared" si="0"/>
        <v>7361.25</v>
      </c>
      <c r="F3" s="42">
        <v>310.25</v>
      </c>
      <c r="G3" s="11">
        <f>E3/F3</f>
        <v>23.726833199033038</v>
      </c>
    </row>
    <row r="4" spans="1:7" ht="15">
      <c r="A4" s="33" t="s">
        <v>106</v>
      </c>
      <c r="B4" s="41">
        <v>7684</v>
      </c>
      <c r="C4" s="41">
        <v>6880</v>
      </c>
      <c r="D4" s="8">
        <f t="shared" si="1"/>
        <v>1720</v>
      </c>
      <c r="E4" s="12">
        <f t="shared" si="0"/>
        <v>8600</v>
      </c>
      <c r="F4" s="42">
        <v>340</v>
      </c>
      <c r="G4" s="11">
        <f aca="true" t="shared" si="2" ref="G4:G46">E4/F4</f>
        <v>25.294117647058822</v>
      </c>
    </row>
    <row r="5" spans="1:7" ht="15">
      <c r="A5" s="33" t="s">
        <v>107</v>
      </c>
      <c r="B5" s="41">
        <v>5250</v>
      </c>
      <c r="C5" s="41">
        <v>1478</v>
      </c>
      <c r="D5" s="8">
        <f t="shared" si="1"/>
        <v>369.5</v>
      </c>
      <c r="E5" s="12">
        <f t="shared" si="0"/>
        <v>1847.5</v>
      </c>
      <c r="F5" s="42">
        <v>442</v>
      </c>
      <c r="G5" s="11">
        <f t="shared" si="2"/>
        <v>4.179864253393665</v>
      </c>
    </row>
    <row r="6" spans="1:7" ht="15">
      <c r="A6" s="33" t="s">
        <v>108</v>
      </c>
      <c r="B6" s="41">
        <v>7669</v>
      </c>
      <c r="C6" s="41">
        <v>5560</v>
      </c>
      <c r="D6" s="8">
        <f t="shared" si="1"/>
        <v>1390</v>
      </c>
      <c r="E6" s="12">
        <f t="shared" si="0"/>
        <v>6950</v>
      </c>
      <c r="F6" s="42">
        <v>306</v>
      </c>
      <c r="G6" s="11">
        <f t="shared" si="2"/>
        <v>22.712418300653596</v>
      </c>
    </row>
    <row r="7" spans="1:7" ht="15">
      <c r="A7" s="35" t="s">
        <v>109</v>
      </c>
      <c r="B7" s="52">
        <v>6648</v>
      </c>
      <c r="C7" s="41">
        <v>5976</v>
      </c>
      <c r="D7" s="8">
        <f t="shared" si="1"/>
        <v>1494</v>
      </c>
      <c r="E7" s="12">
        <f t="shared" si="0"/>
        <v>7470</v>
      </c>
      <c r="F7" s="42">
        <v>412.25</v>
      </c>
      <c r="G7" s="11">
        <f t="shared" si="2"/>
        <v>18.12007277137659</v>
      </c>
    </row>
    <row r="8" spans="1:9" ht="15">
      <c r="A8" s="33" t="s">
        <v>91</v>
      </c>
      <c r="B8" s="52">
        <v>7640</v>
      </c>
      <c r="C8" s="41">
        <v>5530</v>
      </c>
      <c r="D8" s="8">
        <f t="shared" si="1"/>
        <v>1382.5</v>
      </c>
      <c r="E8" s="12">
        <f t="shared" si="0"/>
        <v>6912.5</v>
      </c>
      <c r="F8" s="42">
        <v>340</v>
      </c>
      <c r="G8" s="11">
        <f t="shared" si="2"/>
        <v>20.330882352941178</v>
      </c>
      <c r="I8" s="38"/>
    </row>
    <row r="9" spans="1:7" ht="15">
      <c r="A9" s="35" t="s">
        <v>110</v>
      </c>
      <c r="B9" s="52">
        <v>2636</v>
      </c>
      <c r="C9" s="41">
        <v>2555</v>
      </c>
      <c r="D9" s="8">
        <f t="shared" si="1"/>
        <v>638.75</v>
      </c>
      <c r="E9" s="12">
        <f t="shared" si="0"/>
        <v>3193.75</v>
      </c>
      <c r="F9" s="42">
        <v>136</v>
      </c>
      <c r="G9" s="11">
        <f t="shared" si="2"/>
        <v>23.483455882352942</v>
      </c>
    </row>
    <row r="10" spans="1:7" ht="15">
      <c r="A10" s="33" t="s">
        <v>111</v>
      </c>
      <c r="B10" s="52">
        <v>7297</v>
      </c>
      <c r="C10" s="41">
        <v>5703</v>
      </c>
      <c r="D10" s="8">
        <f t="shared" si="1"/>
        <v>1425.75</v>
      </c>
      <c r="E10" s="12">
        <f t="shared" si="0"/>
        <v>7128.75</v>
      </c>
      <c r="F10" s="42">
        <v>365.5</v>
      </c>
      <c r="G10" s="11">
        <f t="shared" si="2"/>
        <v>19.504103967168263</v>
      </c>
    </row>
    <row r="11" spans="1:7" ht="15">
      <c r="A11" s="35" t="s">
        <v>90</v>
      </c>
      <c r="B11" s="52">
        <v>8342</v>
      </c>
      <c r="C11" s="41">
        <v>6749</v>
      </c>
      <c r="D11" s="8">
        <f t="shared" si="1"/>
        <v>1687.25</v>
      </c>
      <c r="E11" s="12">
        <f t="shared" si="0"/>
        <v>8436.25</v>
      </c>
      <c r="F11" s="42">
        <v>314.5</v>
      </c>
      <c r="G11" s="11">
        <f t="shared" si="2"/>
        <v>26.824324324324323</v>
      </c>
    </row>
    <row r="12" spans="1:7" ht="15">
      <c r="A12" s="35" t="s">
        <v>112</v>
      </c>
      <c r="B12" s="52">
        <v>8633</v>
      </c>
      <c r="C12" s="41">
        <v>7353</v>
      </c>
      <c r="D12" s="8">
        <f t="shared" si="1"/>
        <v>1838.25</v>
      </c>
      <c r="E12" s="12">
        <f t="shared" si="0"/>
        <v>9191.25</v>
      </c>
      <c r="F12" s="42">
        <v>361.25</v>
      </c>
      <c r="G12" s="11">
        <f t="shared" si="2"/>
        <v>25.442906574394463</v>
      </c>
    </row>
    <row r="13" spans="1:7" ht="15">
      <c r="A13" s="33" t="s">
        <v>136</v>
      </c>
      <c r="B13" s="52">
        <v>6127</v>
      </c>
      <c r="C13" s="41">
        <v>1334</v>
      </c>
      <c r="D13" s="8">
        <f t="shared" si="1"/>
        <v>333.5</v>
      </c>
      <c r="E13" s="12">
        <f t="shared" si="0"/>
        <v>1667.5</v>
      </c>
      <c r="F13" s="42">
        <v>527</v>
      </c>
      <c r="G13" s="11">
        <f t="shared" si="2"/>
        <v>3.1641366223908918</v>
      </c>
    </row>
    <row r="14" spans="1:7" ht="15">
      <c r="A14" s="35" t="s">
        <v>113</v>
      </c>
      <c r="B14" s="52">
        <v>7708</v>
      </c>
      <c r="C14" s="41">
        <v>4284</v>
      </c>
      <c r="D14" s="8">
        <f t="shared" si="1"/>
        <v>1071</v>
      </c>
      <c r="E14" s="12">
        <f t="shared" si="0"/>
        <v>5355</v>
      </c>
      <c r="F14" s="42">
        <v>318.75</v>
      </c>
      <c r="G14" s="11">
        <f t="shared" si="2"/>
        <v>16.8</v>
      </c>
    </row>
    <row r="15" spans="1:7" ht="15">
      <c r="A15" s="33" t="s">
        <v>114</v>
      </c>
      <c r="B15" s="52">
        <v>485</v>
      </c>
      <c r="C15" s="41">
        <v>511</v>
      </c>
      <c r="D15" s="8">
        <f t="shared" si="1"/>
        <v>127.75</v>
      </c>
      <c r="E15" s="12">
        <f t="shared" si="0"/>
        <v>638.75</v>
      </c>
      <c r="F15" s="42">
        <v>0</v>
      </c>
      <c r="G15" s="11"/>
    </row>
    <row r="16" spans="1:7" ht="15">
      <c r="A16" s="35" t="s">
        <v>115</v>
      </c>
      <c r="B16" s="41">
        <v>6187</v>
      </c>
      <c r="C16" s="41">
        <v>4723</v>
      </c>
      <c r="D16" s="8">
        <f t="shared" si="1"/>
        <v>1180.75</v>
      </c>
      <c r="E16" s="12">
        <f t="shared" si="0"/>
        <v>5903.75</v>
      </c>
      <c r="F16" s="42">
        <v>408</v>
      </c>
      <c r="G16" s="11">
        <f t="shared" si="2"/>
        <v>14.469975490196079</v>
      </c>
    </row>
    <row r="17" spans="1:7" ht="15">
      <c r="A17" s="35" t="s">
        <v>116</v>
      </c>
      <c r="B17" s="41">
        <v>6513</v>
      </c>
      <c r="C17" s="41">
        <v>3107</v>
      </c>
      <c r="D17" s="8">
        <f t="shared" si="1"/>
        <v>776.75</v>
      </c>
      <c r="E17" s="12">
        <f t="shared" si="0"/>
        <v>3883.75</v>
      </c>
      <c r="F17" s="42">
        <v>263.5</v>
      </c>
      <c r="G17" s="11">
        <f t="shared" si="2"/>
        <v>14.73908918406072</v>
      </c>
    </row>
    <row r="18" spans="1:7" ht="15">
      <c r="A18" s="35" t="s">
        <v>125</v>
      </c>
      <c r="B18" s="41">
        <v>10832</v>
      </c>
      <c r="C18" s="41">
        <v>9568</v>
      </c>
      <c r="D18" s="8">
        <f t="shared" si="1"/>
        <v>2392</v>
      </c>
      <c r="E18" s="12">
        <f t="shared" si="0"/>
        <v>11960</v>
      </c>
      <c r="F18" s="42">
        <v>612</v>
      </c>
      <c r="G18" s="11">
        <f t="shared" si="2"/>
        <v>19.54248366013072</v>
      </c>
    </row>
    <row r="19" spans="1:7" ht="15">
      <c r="A19" s="35" t="s">
        <v>117</v>
      </c>
      <c r="B19" s="41">
        <v>2516</v>
      </c>
      <c r="C19" s="41">
        <v>2484</v>
      </c>
      <c r="D19" s="8">
        <f t="shared" si="1"/>
        <v>621</v>
      </c>
      <c r="E19" s="12">
        <f t="shared" si="0"/>
        <v>3105</v>
      </c>
      <c r="F19" s="42">
        <v>289</v>
      </c>
      <c r="G19" s="11">
        <f t="shared" si="2"/>
        <v>10.7439446366782</v>
      </c>
    </row>
    <row r="20" spans="1:7" ht="15">
      <c r="A20" s="33" t="s">
        <v>132</v>
      </c>
      <c r="B20" s="41">
        <v>1536</v>
      </c>
      <c r="C20" s="41">
        <v>779</v>
      </c>
      <c r="D20" s="8">
        <f t="shared" si="1"/>
        <v>194.75</v>
      </c>
      <c r="E20" s="12">
        <f t="shared" si="0"/>
        <v>973.75</v>
      </c>
      <c r="F20" s="42">
        <v>266.9</v>
      </c>
      <c r="G20" s="11">
        <f t="shared" si="2"/>
        <v>3.6483701760959164</v>
      </c>
    </row>
    <row r="21" spans="1:7" ht="15">
      <c r="A21" s="33" t="s">
        <v>118</v>
      </c>
      <c r="B21" s="41">
        <v>6235</v>
      </c>
      <c r="C21" s="41">
        <v>5881</v>
      </c>
      <c r="D21" s="8">
        <f t="shared" si="1"/>
        <v>1470.25</v>
      </c>
      <c r="E21" s="12">
        <f t="shared" si="0"/>
        <v>7351.25</v>
      </c>
      <c r="F21" s="42">
        <v>161.5</v>
      </c>
      <c r="G21" s="11">
        <f t="shared" si="2"/>
        <v>45.51857585139319</v>
      </c>
    </row>
    <row r="22" spans="1:7" ht="15">
      <c r="A22" s="33" t="s">
        <v>133</v>
      </c>
      <c r="B22" s="41">
        <v>7114</v>
      </c>
      <c r="C22" s="41">
        <v>905</v>
      </c>
      <c r="D22" s="8">
        <f t="shared" si="1"/>
        <v>226.25</v>
      </c>
      <c r="E22" s="12">
        <f t="shared" si="0"/>
        <v>1131.25</v>
      </c>
      <c r="F22" s="42">
        <v>671.5</v>
      </c>
      <c r="G22" s="11">
        <f t="shared" si="2"/>
        <v>1.6846612062546538</v>
      </c>
    </row>
    <row r="23" spans="1:7" ht="15">
      <c r="A23" s="33" t="s">
        <v>134</v>
      </c>
      <c r="B23" s="41">
        <v>1593</v>
      </c>
      <c r="C23" s="41">
        <v>762</v>
      </c>
      <c r="D23" s="8">
        <f t="shared" si="1"/>
        <v>190.5</v>
      </c>
      <c r="E23" s="12">
        <f t="shared" si="0"/>
        <v>952.5</v>
      </c>
      <c r="F23" s="42">
        <v>136</v>
      </c>
      <c r="G23" s="11">
        <f t="shared" si="2"/>
        <v>7.0036764705882355</v>
      </c>
    </row>
    <row r="24" spans="1:7" ht="15">
      <c r="A24" s="33" t="s">
        <v>126</v>
      </c>
      <c r="B24" s="41">
        <v>12096</v>
      </c>
      <c r="C24" s="41">
        <v>3921</v>
      </c>
      <c r="D24" s="8">
        <f t="shared" si="1"/>
        <v>980.25</v>
      </c>
      <c r="E24" s="12">
        <f t="shared" si="0"/>
        <v>4901.25</v>
      </c>
      <c r="F24" s="42">
        <v>799</v>
      </c>
      <c r="G24" s="11">
        <f t="shared" si="2"/>
        <v>6.1342302878598245</v>
      </c>
    </row>
    <row r="25" spans="1:7" ht="15">
      <c r="A25" s="33" t="s">
        <v>119</v>
      </c>
      <c r="B25" s="41">
        <v>8309</v>
      </c>
      <c r="C25" s="41">
        <v>8293</v>
      </c>
      <c r="D25" s="8">
        <f t="shared" si="1"/>
        <v>2073.25</v>
      </c>
      <c r="E25" s="12">
        <f t="shared" si="0"/>
        <v>10366.25</v>
      </c>
      <c r="F25" s="42">
        <v>310.25</v>
      </c>
      <c r="G25" s="11">
        <f t="shared" si="2"/>
        <v>33.41257050765512</v>
      </c>
    </row>
    <row r="26" spans="1:7" ht="15">
      <c r="A26" s="33" t="s">
        <v>120</v>
      </c>
      <c r="B26" s="41">
        <v>6906</v>
      </c>
      <c r="C26" s="41">
        <v>4329</v>
      </c>
      <c r="D26" s="8">
        <f t="shared" si="1"/>
        <v>1082.25</v>
      </c>
      <c r="E26" s="12">
        <f t="shared" si="0"/>
        <v>5411.25</v>
      </c>
      <c r="F26" s="42">
        <v>314.5</v>
      </c>
      <c r="G26" s="11">
        <f t="shared" si="2"/>
        <v>17.205882352941178</v>
      </c>
    </row>
    <row r="27" spans="1:7" ht="15">
      <c r="A27" s="34" t="s">
        <v>121</v>
      </c>
      <c r="B27" s="52">
        <v>2408</v>
      </c>
      <c r="C27" s="41">
        <v>2315</v>
      </c>
      <c r="D27" s="8">
        <f t="shared" si="1"/>
        <v>578.75</v>
      </c>
      <c r="E27" s="12">
        <f t="shared" si="0"/>
        <v>2893.75</v>
      </c>
      <c r="F27" s="42">
        <v>204</v>
      </c>
      <c r="G27" s="11">
        <f t="shared" si="2"/>
        <v>14.185049019607844</v>
      </c>
    </row>
    <row r="28" spans="1:7" ht="15">
      <c r="A28" s="33" t="s">
        <v>127</v>
      </c>
      <c r="B28" s="41">
        <v>8327</v>
      </c>
      <c r="C28" s="41">
        <v>8079</v>
      </c>
      <c r="D28" s="8">
        <f t="shared" si="1"/>
        <v>2019.75</v>
      </c>
      <c r="E28" s="12">
        <f t="shared" si="0"/>
        <v>10098.75</v>
      </c>
      <c r="F28" s="42">
        <v>467.5</v>
      </c>
      <c r="G28" s="11">
        <f t="shared" si="2"/>
        <v>21.601604278074866</v>
      </c>
    </row>
    <row r="29" spans="1:7" ht="15">
      <c r="A29" s="33" t="s">
        <v>92</v>
      </c>
      <c r="B29" s="41">
        <v>5799</v>
      </c>
      <c r="C29" s="41">
        <v>5271</v>
      </c>
      <c r="D29" s="8">
        <f t="shared" si="1"/>
        <v>1317.75</v>
      </c>
      <c r="E29" s="12">
        <f t="shared" si="0"/>
        <v>6588.75</v>
      </c>
      <c r="F29" s="42">
        <v>301.75</v>
      </c>
      <c r="G29" s="11">
        <f t="shared" si="2"/>
        <v>21.83512841756421</v>
      </c>
    </row>
    <row r="30" spans="1:7" ht="15">
      <c r="A30" s="33" t="s">
        <v>135</v>
      </c>
      <c r="B30" s="41">
        <v>2589</v>
      </c>
      <c r="C30" s="41">
        <v>1309</v>
      </c>
      <c r="D30" s="8">
        <f t="shared" si="1"/>
        <v>327.25</v>
      </c>
      <c r="E30" s="12">
        <f t="shared" si="0"/>
        <v>1636.25</v>
      </c>
      <c r="F30" s="42">
        <v>527</v>
      </c>
      <c r="G30" s="11">
        <f t="shared" si="2"/>
        <v>3.1048387096774195</v>
      </c>
    </row>
    <row r="31" spans="1:7" ht="15">
      <c r="A31" s="33" t="s">
        <v>122</v>
      </c>
      <c r="B31" s="41">
        <v>3570</v>
      </c>
      <c r="C31" s="41">
        <v>3160</v>
      </c>
      <c r="D31" s="8">
        <f t="shared" si="1"/>
        <v>790</v>
      </c>
      <c r="E31" s="12">
        <f t="shared" si="0"/>
        <v>3950</v>
      </c>
      <c r="F31" s="42">
        <v>148.75</v>
      </c>
      <c r="G31" s="11">
        <f t="shared" si="2"/>
        <v>26.554621848739497</v>
      </c>
    </row>
    <row r="32" spans="1:7" ht="15">
      <c r="A32" s="33" t="s">
        <v>128</v>
      </c>
      <c r="B32" s="41">
        <v>8195</v>
      </c>
      <c r="C32" s="41">
        <v>5156</v>
      </c>
      <c r="D32" s="8">
        <f t="shared" si="1"/>
        <v>1289</v>
      </c>
      <c r="E32" s="12">
        <f t="shared" si="0"/>
        <v>6445</v>
      </c>
      <c r="F32" s="42">
        <v>471.75</v>
      </c>
      <c r="G32" s="11">
        <f t="shared" si="2"/>
        <v>13.661897191308956</v>
      </c>
    </row>
    <row r="33" spans="1:7" ht="45">
      <c r="A33" s="2" t="s">
        <v>85</v>
      </c>
      <c r="B33" s="3" t="s">
        <v>87</v>
      </c>
      <c r="C33" s="3" t="s">
        <v>86</v>
      </c>
      <c r="D33" s="1" t="s">
        <v>140</v>
      </c>
      <c r="E33" s="3" t="s">
        <v>88</v>
      </c>
      <c r="F33" s="3" t="s">
        <v>89</v>
      </c>
      <c r="G33" s="4" t="s">
        <v>46</v>
      </c>
    </row>
    <row r="34" spans="1:7" ht="15">
      <c r="A34" s="33" t="s">
        <v>129</v>
      </c>
      <c r="B34" s="41">
        <v>1496</v>
      </c>
      <c r="C34" s="41">
        <v>675</v>
      </c>
      <c r="D34" s="8">
        <f t="shared" si="1"/>
        <v>168.75</v>
      </c>
      <c r="E34" s="8">
        <f aca="true" t="shared" si="3" ref="E34:E46">SUM(C34+D34)</f>
        <v>843.75</v>
      </c>
      <c r="F34" s="50">
        <v>365.5</v>
      </c>
      <c r="G34" s="11">
        <f t="shared" si="2"/>
        <v>2.3084815321477428</v>
      </c>
    </row>
    <row r="35" spans="1:7" ht="15">
      <c r="A35" s="33" t="s">
        <v>130</v>
      </c>
      <c r="B35" s="41">
        <v>225</v>
      </c>
      <c r="C35" s="41">
        <v>178</v>
      </c>
      <c r="D35" s="8">
        <f t="shared" si="1"/>
        <v>44.5</v>
      </c>
      <c r="E35" s="8">
        <f t="shared" si="3"/>
        <v>222.5</v>
      </c>
      <c r="F35" s="50">
        <v>51</v>
      </c>
      <c r="G35" s="11">
        <f t="shared" si="2"/>
        <v>4.362745098039215</v>
      </c>
    </row>
    <row r="36" spans="1:7" ht="15">
      <c r="A36" s="33" t="s">
        <v>123</v>
      </c>
      <c r="B36" s="41">
        <v>1580</v>
      </c>
      <c r="C36" s="41">
        <v>478</v>
      </c>
      <c r="D36" s="8">
        <f t="shared" si="1"/>
        <v>119.5</v>
      </c>
      <c r="E36" s="8">
        <f t="shared" si="3"/>
        <v>597.5</v>
      </c>
      <c r="F36" s="50">
        <v>170</v>
      </c>
      <c r="G36" s="11">
        <f t="shared" si="2"/>
        <v>3.514705882352941</v>
      </c>
    </row>
    <row r="37" spans="1:7" ht="15">
      <c r="A37" s="34" t="s">
        <v>97</v>
      </c>
      <c r="B37" s="41">
        <v>4044</v>
      </c>
      <c r="C37" s="41">
        <v>2406</v>
      </c>
      <c r="D37" s="8">
        <f t="shared" si="1"/>
        <v>601.5</v>
      </c>
      <c r="E37" s="8">
        <f t="shared" si="3"/>
        <v>3007.5</v>
      </c>
      <c r="F37" s="50">
        <v>148.75</v>
      </c>
      <c r="G37" s="11">
        <f t="shared" si="2"/>
        <v>20.218487394957982</v>
      </c>
    </row>
    <row r="38" spans="1:7" ht="15">
      <c r="A38" s="33" t="s">
        <v>131</v>
      </c>
      <c r="B38" s="41">
        <v>1182</v>
      </c>
      <c r="C38" s="41">
        <v>506</v>
      </c>
      <c r="D38" s="8">
        <f t="shared" si="1"/>
        <v>126.5</v>
      </c>
      <c r="E38" s="8">
        <f t="shared" si="3"/>
        <v>632.5</v>
      </c>
      <c r="F38" s="50">
        <v>249.89999999999998</v>
      </c>
      <c r="G38" s="11">
        <f t="shared" si="2"/>
        <v>2.531012404961985</v>
      </c>
    </row>
    <row r="39" spans="1:7" ht="15">
      <c r="A39" s="33" t="s">
        <v>98</v>
      </c>
      <c r="B39" s="41">
        <v>6113</v>
      </c>
      <c r="C39" s="41">
        <v>6050</v>
      </c>
      <c r="D39" s="8">
        <f t="shared" si="1"/>
        <v>1512.5</v>
      </c>
      <c r="E39" s="8">
        <f t="shared" si="3"/>
        <v>7562.5</v>
      </c>
      <c r="F39" s="50">
        <v>136</v>
      </c>
      <c r="G39" s="11">
        <f t="shared" si="2"/>
        <v>55.606617647058826</v>
      </c>
    </row>
    <row r="40" spans="1:7" ht="15">
      <c r="A40" s="35" t="s">
        <v>124</v>
      </c>
      <c r="B40" s="41">
        <v>8144</v>
      </c>
      <c r="C40" s="41">
        <v>7880</v>
      </c>
      <c r="D40" s="8">
        <f t="shared" si="1"/>
        <v>1970</v>
      </c>
      <c r="E40" s="8">
        <f t="shared" si="3"/>
        <v>9850</v>
      </c>
      <c r="F40" s="50">
        <v>450.5</v>
      </c>
      <c r="G40" s="11">
        <f t="shared" si="2"/>
        <v>21.8645948945616</v>
      </c>
    </row>
    <row r="41" spans="1:7" ht="15">
      <c r="A41" s="35" t="s">
        <v>93</v>
      </c>
      <c r="B41" s="41">
        <v>7140</v>
      </c>
      <c r="C41" s="41">
        <v>6186</v>
      </c>
      <c r="D41" s="8">
        <f t="shared" si="1"/>
        <v>1546.5</v>
      </c>
      <c r="E41" s="8">
        <f t="shared" si="3"/>
        <v>7732.5</v>
      </c>
      <c r="F41" s="50">
        <v>403.75</v>
      </c>
      <c r="G41" s="11">
        <f t="shared" si="2"/>
        <v>19.151702786377708</v>
      </c>
    </row>
    <row r="42" spans="1:7" ht="15">
      <c r="A42" s="35" t="s">
        <v>99</v>
      </c>
      <c r="B42" s="41">
        <v>7888</v>
      </c>
      <c r="C42" s="41">
        <v>5945</v>
      </c>
      <c r="D42" s="8">
        <f t="shared" si="1"/>
        <v>1486.25</v>
      </c>
      <c r="E42" s="8">
        <f t="shared" si="3"/>
        <v>7431.25</v>
      </c>
      <c r="F42" s="50">
        <v>395.25</v>
      </c>
      <c r="G42" s="11">
        <f t="shared" si="2"/>
        <v>18.801391524351676</v>
      </c>
    </row>
    <row r="43" spans="1:7" ht="15">
      <c r="A43" s="36" t="s">
        <v>100</v>
      </c>
      <c r="B43" s="41">
        <v>6298</v>
      </c>
      <c r="C43" s="41">
        <v>3533</v>
      </c>
      <c r="D43" s="8">
        <f t="shared" si="1"/>
        <v>883.25</v>
      </c>
      <c r="E43" s="8">
        <f t="shared" si="3"/>
        <v>4416.25</v>
      </c>
      <c r="F43" s="50">
        <v>348.5</v>
      </c>
      <c r="G43" s="11">
        <f t="shared" si="2"/>
        <v>12.672166427546628</v>
      </c>
    </row>
    <row r="44" spans="1:7" ht="15">
      <c r="A44" s="33" t="s">
        <v>101</v>
      </c>
      <c r="B44" s="41">
        <v>11931</v>
      </c>
      <c r="C44" s="41">
        <v>7267</v>
      </c>
      <c r="D44" s="8">
        <f t="shared" si="1"/>
        <v>1816.75</v>
      </c>
      <c r="E44" s="8">
        <f t="shared" si="3"/>
        <v>9083.75</v>
      </c>
      <c r="F44" s="50">
        <v>891.48</v>
      </c>
      <c r="G44" s="11">
        <f t="shared" si="2"/>
        <v>10.189516309956476</v>
      </c>
    </row>
    <row r="45" spans="1:7" ht="15">
      <c r="A45" s="35" t="s">
        <v>102</v>
      </c>
      <c r="B45" s="41">
        <v>9148</v>
      </c>
      <c r="C45" s="41">
        <v>6888</v>
      </c>
      <c r="D45" s="8">
        <f t="shared" si="1"/>
        <v>1722</v>
      </c>
      <c r="E45" s="8">
        <f t="shared" si="3"/>
        <v>8610</v>
      </c>
      <c r="F45" s="50">
        <v>467.5</v>
      </c>
      <c r="G45" s="11">
        <f t="shared" si="2"/>
        <v>18.41711229946524</v>
      </c>
    </row>
    <row r="46" spans="1:7" ht="15">
      <c r="A46" s="35" t="s">
        <v>103</v>
      </c>
      <c r="B46" s="41">
        <v>3845</v>
      </c>
      <c r="C46" s="41">
        <v>1110</v>
      </c>
      <c r="D46" s="8">
        <f t="shared" si="1"/>
        <v>277.5</v>
      </c>
      <c r="E46" s="8">
        <f t="shared" si="3"/>
        <v>1387.5</v>
      </c>
      <c r="F46" s="50">
        <v>119</v>
      </c>
      <c r="G46" s="11">
        <f t="shared" si="2"/>
        <v>11.659663865546218</v>
      </c>
    </row>
    <row r="47" spans="1:7" ht="15.75" thickBot="1">
      <c r="A47" s="35" t="s">
        <v>137</v>
      </c>
      <c r="B47" s="7"/>
      <c r="C47" s="41"/>
      <c r="D47" s="7"/>
      <c r="E47" s="7"/>
      <c r="F47" s="51">
        <v>2295</v>
      </c>
      <c r="G47" s="11"/>
    </row>
    <row r="48" spans="1:7" ht="15">
      <c r="A48" s="33"/>
      <c r="B48" s="7"/>
      <c r="C48" s="7"/>
      <c r="D48" s="7"/>
      <c r="E48" s="7"/>
      <c r="F48" s="7"/>
      <c r="G48" s="11"/>
    </row>
    <row r="49" spans="1:7" ht="15">
      <c r="A49" s="37" t="s">
        <v>138</v>
      </c>
      <c r="B49" s="18">
        <f>SUM(B2:B48)</f>
        <v>260596</v>
      </c>
      <c r="C49" s="18">
        <f>SUM(C2:C48)</f>
        <v>186348</v>
      </c>
      <c r="D49" s="18">
        <f>SUM(D2:D48)</f>
        <v>46587</v>
      </c>
      <c r="E49" s="18">
        <f>SUM(E2:E48)</f>
        <v>232935</v>
      </c>
      <c r="F49" s="15">
        <f>SUM(F2:F48)</f>
        <v>17333.03</v>
      </c>
      <c r="G49" s="11">
        <f>AVERAGE(G2:G48)</f>
        <v>17.101107606574814</v>
      </c>
    </row>
    <row r="50" spans="1:7" ht="15">
      <c r="A50" s="13"/>
      <c r="B50" s="2"/>
      <c r="C50" s="2"/>
      <c r="D50" s="2"/>
      <c r="E50" s="2"/>
      <c r="F50" s="2"/>
      <c r="G50" s="2"/>
    </row>
    <row r="51" spans="1:7" ht="15">
      <c r="A51" s="37"/>
      <c r="B51" s="37"/>
      <c r="C51" s="37"/>
      <c r="D51" s="37"/>
      <c r="E51" s="37"/>
      <c r="F51" s="37"/>
      <c r="G51" s="37"/>
    </row>
  </sheetData>
  <printOptions/>
  <pageMargins left="0.2" right="0.2" top="0.5" bottom="0.5" header="0.05" footer="0"/>
  <pageSetup horizontalDpi="600" verticalDpi="600" orientation="landscape"/>
  <headerFooter alignWithMargins="0">
    <oddHeader>&amp;C&amp;14Meals Per Lbor Hour Calculation Work Sheet&amp;"-,Bold"   &amp;K00B050December &amp;K01+000 &amp;KFF00002011 -2012  SY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zoomScale="94" zoomScaleNormal="94" workbookViewId="0" topLeftCell="A22">
      <selection activeCell="B36" sqref="B36:B46"/>
    </sheetView>
  </sheetViews>
  <sheetFormatPr defaultColWidth="8.57421875" defaultRowHeight="15"/>
  <cols>
    <col min="1" max="1" width="37.8515625" style="43" customWidth="1"/>
    <col min="2" max="2" width="11.8515625" style="43" customWidth="1"/>
    <col min="3" max="3" width="12.28125" style="43" customWidth="1"/>
    <col min="4" max="4" width="12.00390625" style="43" customWidth="1"/>
    <col min="5" max="5" width="13.57421875" style="43" customWidth="1"/>
    <col min="6" max="6" width="11.00390625" style="43" customWidth="1"/>
    <col min="7" max="7" width="14.28125" style="43" customWidth="1"/>
    <col min="8" max="16384" width="8.57421875" style="43" customWidth="1"/>
  </cols>
  <sheetData>
    <row r="1" spans="1:7" ht="63.75" customHeight="1">
      <c r="A1" s="2" t="s">
        <v>85</v>
      </c>
      <c r="B1" s="3" t="s">
        <v>87</v>
      </c>
      <c r="C1" s="3" t="s">
        <v>86</v>
      </c>
      <c r="D1" s="3" t="s">
        <v>94</v>
      </c>
      <c r="E1" s="3" t="s">
        <v>95</v>
      </c>
      <c r="F1" s="1" t="s">
        <v>96</v>
      </c>
      <c r="G1" s="4" t="s">
        <v>45</v>
      </c>
    </row>
    <row r="2" spans="1:7" ht="15">
      <c r="A2" s="46" t="s">
        <v>104</v>
      </c>
      <c r="B2" s="56">
        <v>8100</v>
      </c>
      <c r="C2" s="57">
        <v>8174</v>
      </c>
      <c r="D2" s="8">
        <f>C2/4</f>
        <v>2043.5</v>
      </c>
      <c r="E2" s="12">
        <f aca="true" t="shared" si="0" ref="E2:E32">SUM(C2+D2)</f>
        <v>10217.5</v>
      </c>
      <c r="F2" s="53">
        <v>296</v>
      </c>
      <c r="G2" s="11">
        <f>E2/F2</f>
        <v>34.51858108108108</v>
      </c>
    </row>
    <row r="3" spans="1:7" ht="15">
      <c r="A3" s="46" t="s">
        <v>105</v>
      </c>
      <c r="B3" s="56">
        <v>6279</v>
      </c>
      <c r="C3" s="57">
        <v>5620</v>
      </c>
      <c r="D3" s="8">
        <f aca="true" t="shared" si="1" ref="D3:D46">C3/4</f>
        <v>1405</v>
      </c>
      <c r="E3" s="12">
        <f t="shared" si="0"/>
        <v>7025</v>
      </c>
      <c r="F3" s="53">
        <v>292</v>
      </c>
      <c r="G3" s="11">
        <f>E3/F3</f>
        <v>24.05821917808219</v>
      </c>
    </row>
    <row r="4" spans="1:7" ht="15">
      <c r="A4" s="44" t="s">
        <v>106</v>
      </c>
      <c r="B4" s="56">
        <v>6876</v>
      </c>
      <c r="C4" s="57">
        <v>6487</v>
      </c>
      <c r="D4" s="8">
        <f t="shared" si="1"/>
        <v>1621.75</v>
      </c>
      <c r="E4" s="12">
        <f t="shared" si="0"/>
        <v>8108.75</v>
      </c>
      <c r="F4" s="53">
        <v>320</v>
      </c>
      <c r="G4" s="11">
        <f aca="true" t="shared" si="2" ref="G4:G46">E4/F4</f>
        <v>25.33984375</v>
      </c>
    </row>
    <row r="5" spans="1:7" ht="15">
      <c r="A5" s="44" t="s">
        <v>107</v>
      </c>
      <c r="B5" s="56">
        <v>6126</v>
      </c>
      <c r="C5" s="57">
        <v>1828</v>
      </c>
      <c r="D5" s="8">
        <f t="shared" si="1"/>
        <v>457</v>
      </c>
      <c r="E5" s="12">
        <f t="shared" si="0"/>
        <v>2285</v>
      </c>
      <c r="F5" s="53">
        <v>416</v>
      </c>
      <c r="G5" s="11">
        <f t="shared" si="2"/>
        <v>5.492788461538462</v>
      </c>
    </row>
    <row r="6" spans="1:7" ht="15">
      <c r="A6" s="44" t="s">
        <v>108</v>
      </c>
      <c r="B6" s="56">
        <v>7420</v>
      </c>
      <c r="C6" s="57">
        <v>5360</v>
      </c>
      <c r="D6" s="8">
        <f t="shared" si="1"/>
        <v>1340</v>
      </c>
      <c r="E6" s="12">
        <f t="shared" si="0"/>
        <v>6700</v>
      </c>
      <c r="F6" s="53">
        <v>288</v>
      </c>
      <c r="G6" s="11">
        <f t="shared" si="2"/>
        <v>23.26388888888889</v>
      </c>
    </row>
    <row r="7" spans="1:7" ht="15">
      <c r="A7" s="46" t="s">
        <v>109</v>
      </c>
      <c r="B7" s="56">
        <v>6328</v>
      </c>
      <c r="C7" s="57">
        <v>5660</v>
      </c>
      <c r="D7" s="8">
        <f t="shared" si="1"/>
        <v>1415</v>
      </c>
      <c r="E7" s="12">
        <f t="shared" si="0"/>
        <v>7075</v>
      </c>
      <c r="F7" s="53">
        <v>388</v>
      </c>
      <c r="G7" s="11">
        <f t="shared" si="2"/>
        <v>18.234536082474225</v>
      </c>
    </row>
    <row r="8" spans="1:9" ht="15">
      <c r="A8" s="44" t="s">
        <v>91</v>
      </c>
      <c r="B8" s="56">
        <v>7496</v>
      </c>
      <c r="C8" s="57">
        <v>5476</v>
      </c>
      <c r="D8" s="8">
        <f t="shared" si="1"/>
        <v>1369</v>
      </c>
      <c r="E8" s="12">
        <f t="shared" si="0"/>
        <v>6845</v>
      </c>
      <c r="F8" s="53">
        <v>320</v>
      </c>
      <c r="G8" s="11">
        <f t="shared" si="2"/>
        <v>21.390625</v>
      </c>
      <c r="I8" s="49"/>
    </row>
    <row r="9" spans="1:7" ht="15">
      <c r="A9" s="46" t="s">
        <v>110</v>
      </c>
      <c r="B9" s="56">
        <v>2620</v>
      </c>
      <c r="C9" s="57">
        <v>1712</v>
      </c>
      <c r="D9" s="8">
        <f t="shared" si="1"/>
        <v>428</v>
      </c>
      <c r="E9" s="12">
        <f t="shared" si="0"/>
        <v>2140</v>
      </c>
      <c r="F9" s="53">
        <v>128</v>
      </c>
      <c r="G9" s="11">
        <f t="shared" si="2"/>
        <v>16.71875</v>
      </c>
    </row>
    <row r="10" spans="1:7" ht="15">
      <c r="A10" s="44" t="s">
        <v>111</v>
      </c>
      <c r="B10" s="56">
        <v>7448</v>
      </c>
      <c r="C10" s="57">
        <v>5803</v>
      </c>
      <c r="D10" s="8">
        <f t="shared" si="1"/>
        <v>1450.75</v>
      </c>
      <c r="E10" s="12">
        <f t="shared" si="0"/>
        <v>7253.75</v>
      </c>
      <c r="F10" s="53">
        <v>344</v>
      </c>
      <c r="G10" s="11">
        <f t="shared" si="2"/>
        <v>21.086482558139537</v>
      </c>
    </row>
    <row r="11" spans="1:7" ht="15">
      <c r="A11" s="46" t="s">
        <v>90</v>
      </c>
      <c r="B11" s="56">
        <v>7752</v>
      </c>
      <c r="C11" s="57">
        <v>6417</v>
      </c>
      <c r="D11" s="8">
        <f t="shared" si="1"/>
        <v>1604.25</v>
      </c>
      <c r="E11" s="12">
        <f t="shared" si="0"/>
        <v>8021.25</v>
      </c>
      <c r="F11" s="53">
        <v>296</v>
      </c>
      <c r="G11" s="11">
        <f t="shared" si="2"/>
        <v>27.09881756756757</v>
      </c>
    </row>
    <row r="12" spans="1:7" ht="15">
      <c r="A12" s="46" t="s">
        <v>112</v>
      </c>
      <c r="B12" s="56">
        <v>8455</v>
      </c>
      <c r="C12" s="57">
        <v>6994</v>
      </c>
      <c r="D12" s="8">
        <f t="shared" si="1"/>
        <v>1748.5</v>
      </c>
      <c r="E12" s="12">
        <f t="shared" si="0"/>
        <v>8742.5</v>
      </c>
      <c r="F12" s="53">
        <v>340</v>
      </c>
      <c r="G12" s="11">
        <f t="shared" si="2"/>
        <v>25.71323529411765</v>
      </c>
    </row>
    <row r="13" spans="1:7" ht="15">
      <c r="A13" s="44" t="s">
        <v>136</v>
      </c>
      <c r="B13" s="56">
        <v>7110</v>
      </c>
      <c r="C13" s="57">
        <v>3987</v>
      </c>
      <c r="D13" s="8">
        <f t="shared" si="1"/>
        <v>996.75</v>
      </c>
      <c r="E13" s="12">
        <f t="shared" si="0"/>
        <v>4983.75</v>
      </c>
      <c r="F13" s="53">
        <v>496</v>
      </c>
      <c r="G13" s="11">
        <f t="shared" si="2"/>
        <v>10.04788306451613</v>
      </c>
    </row>
    <row r="14" spans="1:7" ht="15">
      <c r="A14" s="46" t="s">
        <v>113</v>
      </c>
      <c r="B14" s="56">
        <v>6155</v>
      </c>
      <c r="C14" s="57">
        <v>4460</v>
      </c>
      <c r="D14" s="8">
        <f t="shared" si="1"/>
        <v>1115</v>
      </c>
      <c r="E14" s="12">
        <f t="shared" si="0"/>
        <v>5575</v>
      </c>
      <c r="F14" s="53">
        <v>300</v>
      </c>
      <c r="G14" s="11">
        <f t="shared" si="2"/>
        <v>18.583333333333332</v>
      </c>
    </row>
    <row r="15" spans="1:7" ht="15">
      <c r="A15" s="44" t="s">
        <v>114</v>
      </c>
      <c r="B15" s="56">
        <v>6311</v>
      </c>
      <c r="C15" s="57">
        <v>2876</v>
      </c>
      <c r="D15" s="8">
        <f t="shared" si="1"/>
        <v>719</v>
      </c>
      <c r="E15" s="12">
        <f t="shared" si="0"/>
        <v>3595</v>
      </c>
      <c r="F15" s="53">
        <v>0</v>
      </c>
      <c r="G15" s="11"/>
    </row>
    <row r="16" spans="1:7" ht="15">
      <c r="A16" s="46" t="s">
        <v>115</v>
      </c>
      <c r="B16" s="56">
        <v>10671</v>
      </c>
      <c r="C16" s="57">
        <v>9868</v>
      </c>
      <c r="D16" s="8">
        <f t="shared" si="1"/>
        <v>2467</v>
      </c>
      <c r="E16" s="12">
        <f t="shared" si="0"/>
        <v>12335</v>
      </c>
      <c r="F16" s="53">
        <v>384</v>
      </c>
      <c r="G16" s="11">
        <f t="shared" si="2"/>
        <v>32.122395833333336</v>
      </c>
    </row>
    <row r="17" spans="1:7" ht="15">
      <c r="A17" s="46" t="s">
        <v>116</v>
      </c>
      <c r="B17" s="56">
        <v>3357</v>
      </c>
      <c r="C17" s="57">
        <v>3272</v>
      </c>
      <c r="D17" s="8">
        <f t="shared" si="1"/>
        <v>818</v>
      </c>
      <c r="E17" s="12">
        <f t="shared" si="0"/>
        <v>4090</v>
      </c>
      <c r="F17" s="53">
        <v>248</v>
      </c>
      <c r="G17" s="11">
        <f t="shared" si="2"/>
        <v>16.491935483870968</v>
      </c>
    </row>
    <row r="18" spans="1:7" ht="15">
      <c r="A18" s="46" t="s">
        <v>125</v>
      </c>
      <c r="B18" s="56">
        <v>1608</v>
      </c>
      <c r="C18" s="57">
        <v>768</v>
      </c>
      <c r="D18" s="8">
        <f t="shared" si="1"/>
        <v>192</v>
      </c>
      <c r="E18" s="12">
        <f t="shared" si="0"/>
        <v>960</v>
      </c>
      <c r="F18" s="53">
        <v>576</v>
      </c>
      <c r="G18" s="11">
        <f t="shared" si="2"/>
        <v>1.6666666666666667</v>
      </c>
    </row>
    <row r="19" spans="1:7" ht="15">
      <c r="A19" s="46" t="s">
        <v>117</v>
      </c>
      <c r="B19" s="56">
        <v>6098</v>
      </c>
      <c r="C19" s="57">
        <v>5728</v>
      </c>
      <c r="D19" s="8">
        <f t="shared" si="1"/>
        <v>1432</v>
      </c>
      <c r="E19" s="12">
        <f t="shared" si="0"/>
        <v>7160</v>
      </c>
      <c r="F19" s="53">
        <v>272</v>
      </c>
      <c r="G19" s="11">
        <f t="shared" si="2"/>
        <v>26.323529411764707</v>
      </c>
    </row>
    <row r="20" spans="1:7" ht="15">
      <c r="A20" s="44" t="s">
        <v>132</v>
      </c>
      <c r="B20" s="56">
        <v>6449</v>
      </c>
      <c r="C20" s="57">
        <v>1124</v>
      </c>
      <c r="D20" s="8">
        <f t="shared" si="1"/>
        <v>281</v>
      </c>
      <c r="E20" s="12">
        <f t="shared" si="0"/>
        <v>1405</v>
      </c>
      <c r="F20" s="53">
        <v>251.2</v>
      </c>
      <c r="G20" s="11">
        <f t="shared" si="2"/>
        <v>5.593152866242039</v>
      </c>
    </row>
    <row r="21" spans="1:7" ht="15">
      <c r="A21" s="44" t="s">
        <v>118</v>
      </c>
      <c r="B21" s="56">
        <v>1613</v>
      </c>
      <c r="C21" s="57">
        <v>720</v>
      </c>
      <c r="D21" s="8">
        <f t="shared" si="1"/>
        <v>180</v>
      </c>
      <c r="E21" s="12">
        <f t="shared" si="0"/>
        <v>900</v>
      </c>
      <c r="F21" s="53">
        <v>152</v>
      </c>
      <c r="G21" s="11">
        <f t="shared" si="2"/>
        <v>5.921052631578948</v>
      </c>
    </row>
    <row r="22" spans="1:7" ht="15">
      <c r="A22" s="44" t="s">
        <v>133</v>
      </c>
      <c r="B22" s="56">
        <v>11399</v>
      </c>
      <c r="C22" s="57">
        <v>3372</v>
      </c>
      <c r="D22" s="8">
        <f t="shared" si="1"/>
        <v>843</v>
      </c>
      <c r="E22" s="12">
        <f t="shared" si="0"/>
        <v>4215</v>
      </c>
      <c r="F22" s="53">
        <v>632</v>
      </c>
      <c r="G22" s="11">
        <f t="shared" si="2"/>
        <v>6.669303797468355</v>
      </c>
    </row>
    <row r="23" spans="1:7" ht="15">
      <c r="A23" s="44" t="s">
        <v>134</v>
      </c>
      <c r="B23" s="56">
        <v>8176</v>
      </c>
      <c r="C23" s="57">
        <v>7980</v>
      </c>
      <c r="D23" s="8">
        <f t="shared" si="1"/>
        <v>1995</v>
      </c>
      <c r="E23" s="12">
        <f t="shared" si="0"/>
        <v>9975</v>
      </c>
      <c r="F23" s="53">
        <v>128</v>
      </c>
      <c r="G23" s="11">
        <f t="shared" si="2"/>
        <v>77.9296875</v>
      </c>
    </row>
    <row r="24" spans="1:7" ht="15">
      <c r="A24" s="44" t="s">
        <v>126</v>
      </c>
      <c r="B24" s="56">
        <v>5870</v>
      </c>
      <c r="C24" s="57">
        <v>5329</v>
      </c>
      <c r="D24" s="8">
        <f t="shared" si="1"/>
        <v>1332.25</v>
      </c>
      <c r="E24" s="12">
        <f t="shared" si="0"/>
        <v>6661.25</v>
      </c>
      <c r="F24" s="53">
        <v>752</v>
      </c>
      <c r="G24" s="11">
        <f t="shared" si="2"/>
        <v>8.858045212765957</v>
      </c>
    </row>
    <row r="25" spans="1:7" ht="15">
      <c r="A25" s="44" t="s">
        <v>119</v>
      </c>
      <c r="B25" s="56">
        <v>2227</v>
      </c>
      <c r="C25" s="57">
        <v>2239</v>
      </c>
      <c r="D25" s="8">
        <f t="shared" si="1"/>
        <v>559.75</v>
      </c>
      <c r="E25" s="12">
        <f t="shared" si="0"/>
        <v>2798.75</v>
      </c>
      <c r="F25" s="53">
        <v>292</v>
      </c>
      <c r="G25" s="11">
        <f t="shared" si="2"/>
        <v>9.584760273972602</v>
      </c>
    </row>
    <row r="26" spans="1:7" ht="15">
      <c r="A26" s="44" t="s">
        <v>120</v>
      </c>
      <c r="B26" s="56">
        <v>7668</v>
      </c>
      <c r="C26" s="57">
        <v>7646</v>
      </c>
      <c r="D26" s="8">
        <f t="shared" si="1"/>
        <v>1911.5</v>
      </c>
      <c r="E26" s="12">
        <f t="shared" si="0"/>
        <v>9557.5</v>
      </c>
      <c r="F26" s="53">
        <v>296</v>
      </c>
      <c r="G26" s="11">
        <f t="shared" si="2"/>
        <v>32.288851351351354</v>
      </c>
    </row>
    <row r="27" spans="1:7" ht="15">
      <c r="A27" s="45" t="s">
        <v>121</v>
      </c>
      <c r="B27" s="56">
        <v>5857</v>
      </c>
      <c r="C27" s="57">
        <v>5504</v>
      </c>
      <c r="D27" s="8">
        <f t="shared" si="1"/>
        <v>1376</v>
      </c>
      <c r="E27" s="12">
        <f t="shared" si="0"/>
        <v>6880</v>
      </c>
      <c r="F27" s="53">
        <v>192</v>
      </c>
      <c r="G27" s="11">
        <f t="shared" si="2"/>
        <v>35.833333333333336</v>
      </c>
    </row>
    <row r="28" spans="1:7" ht="15">
      <c r="A28" s="44" t="s">
        <v>127</v>
      </c>
      <c r="B28" s="56">
        <v>2123</v>
      </c>
      <c r="C28" s="57">
        <v>1234</v>
      </c>
      <c r="D28" s="8">
        <f t="shared" si="1"/>
        <v>308.5</v>
      </c>
      <c r="E28" s="12">
        <f t="shared" si="0"/>
        <v>1542.5</v>
      </c>
      <c r="F28" s="53">
        <v>440</v>
      </c>
      <c r="G28" s="11">
        <f t="shared" si="2"/>
        <v>3.5056818181818183</v>
      </c>
    </row>
    <row r="29" spans="1:7" ht="15">
      <c r="A29" s="44" t="s">
        <v>92</v>
      </c>
      <c r="B29" s="56">
        <v>3414</v>
      </c>
      <c r="C29" s="57">
        <v>2845</v>
      </c>
      <c r="D29" s="8">
        <f t="shared" si="1"/>
        <v>711.25</v>
      </c>
      <c r="E29" s="12">
        <f t="shared" si="0"/>
        <v>3556.25</v>
      </c>
      <c r="F29" s="53">
        <v>284</v>
      </c>
      <c r="G29" s="11">
        <f t="shared" si="2"/>
        <v>12.522007042253522</v>
      </c>
    </row>
    <row r="30" spans="1:7" ht="15">
      <c r="A30" s="44" t="s">
        <v>135</v>
      </c>
      <c r="B30" s="56">
        <v>7815</v>
      </c>
      <c r="C30" s="57">
        <v>4920</v>
      </c>
      <c r="D30" s="8">
        <f t="shared" si="1"/>
        <v>1230</v>
      </c>
      <c r="E30" s="12">
        <f t="shared" si="0"/>
        <v>6150</v>
      </c>
      <c r="F30" s="53">
        <v>496</v>
      </c>
      <c r="G30" s="11">
        <f t="shared" si="2"/>
        <v>12.399193548387096</v>
      </c>
    </row>
    <row r="31" spans="1:7" ht="15">
      <c r="A31" s="44" t="s">
        <v>122</v>
      </c>
      <c r="B31" s="56">
        <v>1485</v>
      </c>
      <c r="C31" s="57">
        <v>667</v>
      </c>
      <c r="D31" s="8">
        <f t="shared" si="1"/>
        <v>166.75</v>
      </c>
      <c r="E31" s="12">
        <f t="shared" si="0"/>
        <v>833.75</v>
      </c>
      <c r="F31" s="53">
        <v>140</v>
      </c>
      <c r="G31" s="11">
        <f t="shared" si="2"/>
        <v>5.955357142857143</v>
      </c>
    </row>
    <row r="32" spans="1:7" ht="15">
      <c r="A32" s="44" t="s">
        <v>128</v>
      </c>
      <c r="B32" s="56">
        <v>215</v>
      </c>
      <c r="C32" s="57">
        <v>200</v>
      </c>
      <c r="D32" s="8">
        <f t="shared" si="1"/>
        <v>50</v>
      </c>
      <c r="E32" s="12">
        <f t="shared" si="0"/>
        <v>250</v>
      </c>
      <c r="F32" s="53">
        <v>444</v>
      </c>
      <c r="G32" s="11">
        <f t="shared" si="2"/>
        <v>0.5630630630630631</v>
      </c>
    </row>
    <row r="33" spans="1:7" ht="45">
      <c r="A33" s="2" t="s">
        <v>85</v>
      </c>
      <c r="B33" s="3" t="s">
        <v>87</v>
      </c>
      <c r="C33" s="3" t="s">
        <v>86</v>
      </c>
      <c r="D33" s="1" t="s">
        <v>140</v>
      </c>
      <c r="E33" s="3" t="s">
        <v>88</v>
      </c>
      <c r="F33" s="3" t="s">
        <v>89</v>
      </c>
      <c r="G33" s="4" t="s">
        <v>46</v>
      </c>
    </row>
    <row r="34" spans="1:7" ht="15">
      <c r="A34" s="44" t="s">
        <v>129</v>
      </c>
      <c r="B34" s="57">
        <v>1437</v>
      </c>
      <c r="C34" s="57">
        <v>433</v>
      </c>
      <c r="D34" s="8">
        <f t="shared" si="1"/>
        <v>108.25</v>
      </c>
      <c r="E34" s="8">
        <f aca="true" t="shared" si="3" ref="E34:E46">SUM(C34+D34)</f>
        <v>541.25</v>
      </c>
      <c r="F34" s="54">
        <v>344</v>
      </c>
      <c r="G34" s="11">
        <f t="shared" si="2"/>
        <v>1.5734011627906976</v>
      </c>
    </row>
    <row r="35" spans="1:7" ht="15">
      <c r="A35" s="44" t="s">
        <v>130</v>
      </c>
      <c r="B35" s="57">
        <v>495</v>
      </c>
      <c r="C35" s="57">
        <v>596</v>
      </c>
      <c r="D35" s="8">
        <f t="shared" si="1"/>
        <v>149</v>
      </c>
      <c r="E35" s="8">
        <f t="shared" si="3"/>
        <v>745</v>
      </c>
      <c r="F35" s="54">
        <v>48</v>
      </c>
      <c r="G35" s="11">
        <f t="shared" si="2"/>
        <v>15.520833333333334</v>
      </c>
    </row>
    <row r="36" spans="1:7" ht="15">
      <c r="A36" s="44" t="s">
        <v>123</v>
      </c>
      <c r="B36" s="57">
        <v>13374</v>
      </c>
      <c r="C36" s="57">
        <v>8400</v>
      </c>
      <c r="D36" s="8">
        <f t="shared" si="1"/>
        <v>2100</v>
      </c>
      <c r="E36" s="8">
        <f t="shared" si="3"/>
        <v>10500</v>
      </c>
      <c r="F36" s="54">
        <v>160</v>
      </c>
      <c r="G36" s="11">
        <f t="shared" si="2"/>
        <v>65.625</v>
      </c>
    </row>
    <row r="37" spans="1:7" ht="15">
      <c r="A37" s="45" t="s">
        <v>97</v>
      </c>
      <c r="B37" s="57">
        <v>8690</v>
      </c>
      <c r="C37" s="57">
        <v>6368</v>
      </c>
      <c r="D37" s="8">
        <f t="shared" si="1"/>
        <v>1592</v>
      </c>
      <c r="E37" s="8">
        <f t="shared" si="3"/>
        <v>7960</v>
      </c>
      <c r="F37" s="54">
        <v>140</v>
      </c>
      <c r="G37" s="11">
        <f t="shared" si="2"/>
        <v>56.857142857142854</v>
      </c>
    </row>
    <row r="38" spans="1:7" ht="15">
      <c r="A38" s="44" t="s">
        <v>131</v>
      </c>
      <c r="B38" s="57">
        <v>3976</v>
      </c>
      <c r="C38" s="57">
        <v>1033</v>
      </c>
      <c r="D38" s="8">
        <f t="shared" si="1"/>
        <v>258.25</v>
      </c>
      <c r="E38" s="8">
        <f t="shared" si="3"/>
        <v>1291.25</v>
      </c>
      <c r="F38" s="54">
        <v>235.2</v>
      </c>
      <c r="G38" s="11">
        <f t="shared" si="2"/>
        <v>5.490008503401361</v>
      </c>
    </row>
    <row r="39" spans="1:7" ht="15">
      <c r="A39" s="44" t="s">
        <v>98</v>
      </c>
      <c r="B39" s="57">
        <v>5603</v>
      </c>
      <c r="C39" s="57">
        <v>1317</v>
      </c>
      <c r="D39" s="8">
        <f t="shared" si="1"/>
        <v>329.25</v>
      </c>
      <c r="E39" s="8">
        <f t="shared" si="3"/>
        <v>1646.25</v>
      </c>
      <c r="F39" s="54">
        <v>128</v>
      </c>
      <c r="G39" s="11">
        <f t="shared" si="2"/>
        <v>12.861328125</v>
      </c>
    </row>
    <row r="40" spans="1:7" ht="15">
      <c r="A40" s="46" t="s">
        <v>124</v>
      </c>
      <c r="B40" s="57">
        <v>1443</v>
      </c>
      <c r="C40" s="57">
        <v>432</v>
      </c>
      <c r="D40" s="8">
        <f t="shared" si="1"/>
        <v>108</v>
      </c>
      <c r="E40" s="8">
        <f t="shared" si="3"/>
        <v>540</v>
      </c>
      <c r="F40" s="54">
        <v>424</v>
      </c>
      <c r="G40" s="11">
        <f t="shared" si="2"/>
        <v>1.2735849056603774</v>
      </c>
    </row>
    <row r="41" spans="1:7" ht="15">
      <c r="A41" s="46" t="s">
        <v>93</v>
      </c>
      <c r="B41" s="57">
        <v>6066</v>
      </c>
      <c r="C41" s="57">
        <v>6080</v>
      </c>
      <c r="D41" s="8">
        <f t="shared" si="1"/>
        <v>1520</v>
      </c>
      <c r="E41" s="8">
        <f t="shared" si="3"/>
        <v>7600</v>
      </c>
      <c r="F41" s="54">
        <v>380</v>
      </c>
      <c r="G41" s="11">
        <f t="shared" si="2"/>
        <v>20</v>
      </c>
    </row>
    <row r="42" spans="1:7" ht="15">
      <c r="A42" s="46" t="s">
        <v>99</v>
      </c>
      <c r="B42" s="57">
        <v>7954</v>
      </c>
      <c r="C42" s="57">
        <v>7408</v>
      </c>
      <c r="D42" s="8">
        <f t="shared" si="1"/>
        <v>1852</v>
      </c>
      <c r="E42" s="8">
        <f t="shared" si="3"/>
        <v>9260</v>
      </c>
      <c r="F42" s="54">
        <v>372</v>
      </c>
      <c r="G42" s="11">
        <f t="shared" si="2"/>
        <v>24.892473118279568</v>
      </c>
    </row>
    <row r="43" spans="1:7" ht="15">
      <c r="A43" s="47" t="s">
        <v>100</v>
      </c>
      <c r="B43" s="57">
        <v>7301</v>
      </c>
      <c r="C43" s="57">
        <v>6751</v>
      </c>
      <c r="D43" s="8">
        <f t="shared" si="1"/>
        <v>1687.75</v>
      </c>
      <c r="E43" s="8">
        <f t="shared" si="3"/>
        <v>8438.75</v>
      </c>
      <c r="F43" s="54">
        <v>328</v>
      </c>
      <c r="G43" s="11">
        <f t="shared" si="2"/>
        <v>25.727896341463413</v>
      </c>
    </row>
    <row r="44" spans="1:7" ht="15">
      <c r="A44" s="44" t="s">
        <v>101</v>
      </c>
      <c r="B44" s="57">
        <v>6955</v>
      </c>
      <c r="C44" s="57">
        <v>5844</v>
      </c>
      <c r="D44" s="8">
        <f t="shared" si="1"/>
        <v>1461</v>
      </c>
      <c r="E44" s="8">
        <f t="shared" si="3"/>
        <v>7305</v>
      </c>
      <c r="F44" s="54">
        <v>839.04</v>
      </c>
      <c r="G44" s="11">
        <f t="shared" si="2"/>
        <v>8.70637871853547</v>
      </c>
    </row>
    <row r="45" spans="1:7" ht="15">
      <c r="A45" s="46" t="s">
        <v>102</v>
      </c>
      <c r="B45" s="57">
        <v>5811</v>
      </c>
      <c r="C45" s="57">
        <v>3355</v>
      </c>
      <c r="D45" s="8">
        <f t="shared" si="1"/>
        <v>838.75</v>
      </c>
      <c r="E45" s="8">
        <f t="shared" si="3"/>
        <v>4193.75</v>
      </c>
      <c r="F45" s="54">
        <v>440</v>
      </c>
      <c r="G45" s="11">
        <f t="shared" si="2"/>
        <v>9.53125</v>
      </c>
    </row>
    <row r="46" spans="1:7" ht="15">
      <c r="A46" s="46" t="s">
        <v>103</v>
      </c>
      <c r="B46" s="57"/>
      <c r="C46" s="57">
        <v>1121</v>
      </c>
      <c r="D46" s="8">
        <f t="shared" si="1"/>
        <v>280.25</v>
      </c>
      <c r="E46" s="8">
        <f t="shared" si="3"/>
        <v>1401.25</v>
      </c>
      <c r="F46" s="54">
        <v>112</v>
      </c>
      <c r="G46" s="11">
        <f t="shared" si="2"/>
        <v>12.511160714285714</v>
      </c>
    </row>
    <row r="47" spans="1:7" ht="15.75" thickBot="1">
      <c r="A47" s="46" t="s">
        <v>137</v>
      </c>
      <c r="B47" s="7"/>
      <c r="C47" s="41"/>
      <c r="D47" s="7"/>
      <c r="E47" s="7"/>
      <c r="F47" s="55">
        <v>2160</v>
      </c>
      <c r="G47" s="11"/>
    </row>
    <row r="48" spans="1:7" ht="15">
      <c r="A48" s="44"/>
      <c r="B48" s="7"/>
      <c r="C48" s="7"/>
      <c r="D48" s="7"/>
      <c r="E48" s="7"/>
      <c r="F48" s="7"/>
      <c r="G48" s="11"/>
    </row>
    <row r="49" spans="1:7" ht="15">
      <c r="A49" s="48" t="s">
        <v>138</v>
      </c>
      <c r="B49" s="18">
        <f>SUM(B2:B48)</f>
        <v>249626</v>
      </c>
      <c r="C49" s="18">
        <f>SUM(C2:C48)</f>
        <v>183408</v>
      </c>
      <c r="D49" s="18">
        <f>SUM(D2:D48)</f>
        <v>45852</v>
      </c>
      <c r="E49" s="18">
        <f>SUM(E2:E48)</f>
        <v>229260</v>
      </c>
      <c r="F49" s="15">
        <f>SUM(F2:F48)</f>
        <v>16313.440000000002</v>
      </c>
      <c r="G49" s="11">
        <f>AVERAGE(G2:G48)</f>
        <v>19.217336256202856</v>
      </c>
    </row>
    <row r="50" spans="1:7" ht="15">
      <c r="A50" s="13"/>
      <c r="B50" s="2"/>
      <c r="C50" s="2"/>
      <c r="D50" s="2"/>
      <c r="E50" s="2"/>
      <c r="F50" s="2"/>
      <c r="G50" s="2"/>
    </row>
    <row r="51" spans="1:7" ht="15">
      <c r="A51" s="48"/>
      <c r="B51" s="48"/>
      <c r="C51" s="48"/>
      <c r="D51" s="48"/>
      <c r="E51" s="48"/>
      <c r="F51" s="48"/>
      <c r="G51" s="48"/>
    </row>
  </sheetData>
  <printOptions/>
  <pageMargins left="0.2" right="0.2" top="0.5" bottom="0.5" header="0.05" footer="0"/>
  <pageSetup horizontalDpi="600" verticalDpi="600" orientation="landscape"/>
  <headerFooter alignWithMargins="0">
    <oddHeader>&amp;C&amp;14Meals Per Lbor Hour Calculation Work Sheet&amp;"-,Bold"   &amp;K0000CCJanuary&amp;K01+000  &amp;KFF00002012  SY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zoomScale="94" zoomScaleNormal="94" workbookViewId="0" topLeftCell="A1">
      <selection activeCell="K18" sqref="K18"/>
    </sheetView>
  </sheetViews>
  <sheetFormatPr defaultColWidth="8.57421875" defaultRowHeight="15"/>
  <cols>
    <col min="1" max="1" width="37.8515625" style="43" customWidth="1"/>
    <col min="2" max="2" width="11.8515625" style="43" customWidth="1"/>
    <col min="3" max="3" width="12.28125" style="43" customWidth="1"/>
    <col min="4" max="4" width="12.00390625" style="43" customWidth="1"/>
    <col min="5" max="5" width="13.57421875" style="43" customWidth="1"/>
    <col min="6" max="6" width="11.00390625" style="43" customWidth="1"/>
    <col min="7" max="7" width="14.28125" style="43" customWidth="1"/>
    <col min="8" max="16384" width="8.57421875" style="43" customWidth="1"/>
  </cols>
  <sheetData>
    <row r="1" spans="1:7" ht="63.75" customHeight="1">
      <c r="A1" s="2" t="s">
        <v>85</v>
      </c>
      <c r="B1" s="3" t="s">
        <v>87</v>
      </c>
      <c r="C1" s="3" t="s">
        <v>86</v>
      </c>
      <c r="D1" s="3" t="s">
        <v>94</v>
      </c>
      <c r="E1" s="3" t="s">
        <v>95</v>
      </c>
      <c r="F1" s="1" t="s">
        <v>96</v>
      </c>
      <c r="G1" s="4" t="s">
        <v>45</v>
      </c>
    </row>
    <row r="2" spans="1:7" ht="15">
      <c r="A2" s="46" t="s">
        <v>104</v>
      </c>
      <c r="B2" s="56">
        <v>9547</v>
      </c>
      <c r="C2" s="56">
        <v>9447</v>
      </c>
      <c r="D2" s="8">
        <f>C2/4</f>
        <v>2361.75</v>
      </c>
      <c r="E2" s="12">
        <f aca="true" t="shared" si="0" ref="E2:E32">SUM(C2+D2)</f>
        <v>11808.75</v>
      </c>
      <c r="F2" s="54">
        <v>351.5</v>
      </c>
      <c r="G2" s="11">
        <f>E2/F2</f>
        <v>33.595305832147936</v>
      </c>
    </row>
    <row r="3" spans="1:7" ht="15">
      <c r="A3" s="46" t="s">
        <v>105</v>
      </c>
      <c r="B3" s="56">
        <v>7552</v>
      </c>
      <c r="C3" s="56">
        <v>6483</v>
      </c>
      <c r="D3" s="8">
        <f aca="true" t="shared" si="1" ref="D3:D46">C3/4</f>
        <v>1620.75</v>
      </c>
      <c r="E3" s="12">
        <f t="shared" si="0"/>
        <v>8103.75</v>
      </c>
      <c r="F3" s="54">
        <v>346.75</v>
      </c>
      <c r="G3" s="11">
        <f>E3/F3</f>
        <v>23.370583994232156</v>
      </c>
    </row>
    <row r="4" spans="1:7" ht="15">
      <c r="A4" s="44" t="s">
        <v>106</v>
      </c>
      <c r="B4" s="56">
        <v>7800</v>
      </c>
      <c r="C4" s="56">
        <v>7405</v>
      </c>
      <c r="D4" s="8">
        <f t="shared" si="1"/>
        <v>1851.25</v>
      </c>
      <c r="E4" s="12">
        <f t="shared" si="0"/>
        <v>9256.25</v>
      </c>
      <c r="F4" s="54">
        <v>380</v>
      </c>
      <c r="G4" s="11">
        <f aca="true" t="shared" si="2" ref="G4:G46">E4/F4</f>
        <v>24.35855263157895</v>
      </c>
    </row>
    <row r="5" spans="1:7" ht="15">
      <c r="A5" s="44" t="s">
        <v>107</v>
      </c>
      <c r="B5" s="56">
        <v>7482</v>
      </c>
      <c r="C5" s="56">
        <v>2304</v>
      </c>
      <c r="D5" s="8">
        <f t="shared" si="1"/>
        <v>576</v>
      </c>
      <c r="E5" s="12">
        <f t="shared" si="0"/>
        <v>2880</v>
      </c>
      <c r="F5" s="54">
        <v>494</v>
      </c>
      <c r="G5" s="11">
        <f t="shared" si="2"/>
        <v>5.82995951417004</v>
      </c>
    </row>
    <row r="6" spans="1:7" ht="15">
      <c r="A6" s="44" t="s">
        <v>108</v>
      </c>
      <c r="B6" s="56">
        <v>8720</v>
      </c>
      <c r="C6" s="56">
        <v>6406</v>
      </c>
      <c r="D6" s="8">
        <f t="shared" si="1"/>
        <v>1601.5</v>
      </c>
      <c r="E6" s="12">
        <f t="shared" si="0"/>
        <v>8007.5</v>
      </c>
      <c r="F6" s="54">
        <v>342</v>
      </c>
      <c r="G6" s="11">
        <f t="shared" si="2"/>
        <v>23.41374269005848</v>
      </c>
    </row>
    <row r="7" spans="1:7" ht="15">
      <c r="A7" s="46" t="s">
        <v>109</v>
      </c>
      <c r="B7" s="56">
        <v>7263</v>
      </c>
      <c r="C7" s="56">
        <v>6424</v>
      </c>
      <c r="D7" s="8">
        <f t="shared" si="1"/>
        <v>1606</v>
      </c>
      <c r="E7" s="12">
        <f t="shared" si="0"/>
        <v>8030</v>
      </c>
      <c r="F7" s="54">
        <v>460.75</v>
      </c>
      <c r="G7" s="11">
        <f t="shared" si="2"/>
        <v>17.42810634834509</v>
      </c>
    </row>
    <row r="8" spans="1:9" ht="15">
      <c r="A8" s="44" t="s">
        <v>91</v>
      </c>
      <c r="B8" s="56">
        <v>8028</v>
      </c>
      <c r="C8" s="56">
        <v>6235</v>
      </c>
      <c r="D8" s="8">
        <f t="shared" si="1"/>
        <v>1558.75</v>
      </c>
      <c r="E8" s="12">
        <f t="shared" si="0"/>
        <v>7793.75</v>
      </c>
      <c r="F8" s="54">
        <v>380</v>
      </c>
      <c r="G8" s="11">
        <f t="shared" si="2"/>
        <v>20.50986842105263</v>
      </c>
      <c r="I8" s="49"/>
    </row>
    <row r="9" spans="1:7" ht="15">
      <c r="A9" s="46" t="s">
        <v>110</v>
      </c>
      <c r="B9" s="56">
        <v>2958</v>
      </c>
      <c r="C9" s="56">
        <v>2931</v>
      </c>
      <c r="D9" s="8">
        <f t="shared" si="1"/>
        <v>732.75</v>
      </c>
      <c r="E9" s="12">
        <f t="shared" si="0"/>
        <v>3663.75</v>
      </c>
      <c r="F9" s="54">
        <v>152</v>
      </c>
      <c r="G9" s="11">
        <f t="shared" si="2"/>
        <v>24.10361842105263</v>
      </c>
    </row>
    <row r="10" spans="1:7" ht="15">
      <c r="A10" s="44" t="s">
        <v>111</v>
      </c>
      <c r="B10" s="56">
        <v>8774</v>
      </c>
      <c r="C10" s="56">
        <v>6652</v>
      </c>
      <c r="D10" s="8">
        <f t="shared" si="1"/>
        <v>1663</v>
      </c>
      <c r="E10" s="12">
        <f t="shared" si="0"/>
        <v>8315</v>
      </c>
      <c r="F10" s="54">
        <v>408.5</v>
      </c>
      <c r="G10" s="11">
        <f t="shared" si="2"/>
        <v>20.354957160342718</v>
      </c>
    </row>
    <row r="11" spans="1:7" ht="15">
      <c r="A11" s="46" t="s">
        <v>90</v>
      </c>
      <c r="B11" s="56">
        <v>9448</v>
      </c>
      <c r="C11" s="56">
        <v>7422</v>
      </c>
      <c r="D11" s="8">
        <f t="shared" si="1"/>
        <v>1855.5</v>
      </c>
      <c r="E11" s="12">
        <f t="shared" si="0"/>
        <v>9277.5</v>
      </c>
      <c r="F11" s="54">
        <v>351.5</v>
      </c>
      <c r="G11" s="11">
        <f t="shared" si="2"/>
        <v>26.39402560455192</v>
      </c>
    </row>
    <row r="12" spans="1:7" ht="15">
      <c r="A12" s="46" t="s">
        <v>112</v>
      </c>
      <c r="B12" s="56">
        <v>9625</v>
      </c>
      <c r="C12" s="56">
        <v>8216</v>
      </c>
      <c r="D12" s="8">
        <f t="shared" si="1"/>
        <v>2054</v>
      </c>
      <c r="E12" s="12">
        <f t="shared" si="0"/>
        <v>10270</v>
      </c>
      <c r="F12" s="54">
        <v>403.75</v>
      </c>
      <c r="G12" s="11">
        <f t="shared" si="2"/>
        <v>25.436532507739937</v>
      </c>
    </row>
    <row r="13" spans="1:7" ht="15">
      <c r="A13" s="44" t="s">
        <v>136</v>
      </c>
      <c r="B13" s="56">
        <v>6212</v>
      </c>
      <c r="C13" s="56">
        <v>1422</v>
      </c>
      <c r="D13" s="8">
        <f t="shared" si="1"/>
        <v>355.5</v>
      </c>
      <c r="E13" s="12">
        <f t="shared" si="0"/>
        <v>1777.5</v>
      </c>
      <c r="F13" s="54">
        <v>589</v>
      </c>
      <c r="G13" s="11">
        <f t="shared" si="2"/>
        <v>3.0178268251273344</v>
      </c>
    </row>
    <row r="14" spans="1:7" ht="15">
      <c r="A14" s="46" t="s">
        <v>113</v>
      </c>
      <c r="B14" s="56">
        <v>8419</v>
      </c>
      <c r="C14" s="56">
        <v>4856</v>
      </c>
      <c r="D14" s="8">
        <f t="shared" si="1"/>
        <v>1214</v>
      </c>
      <c r="E14" s="12">
        <f t="shared" si="0"/>
        <v>6070</v>
      </c>
      <c r="F14" s="54">
        <v>356.25</v>
      </c>
      <c r="G14" s="11">
        <f t="shared" si="2"/>
        <v>17.03859649122807</v>
      </c>
    </row>
    <row r="15" spans="1:7" ht="15">
      <c r="A15" s="44" t="s">
        <v>114</v>
      </c>
      <c r="B15" s="56">
        <v>537</v>
      </c>
      <c r="C15" s="56">
        <v>609</v>
      </c>
      <c r="D15" s="8">
        <f t="shared" si="1"/>
        <v>152.25</v>
      </c>
      <c r="E15" s="12">
        <f t="shared" si="0"/>
        <v>761.25</v>
      </c>
      <c r="F15" s="54">
        <v>0</v>
      </c>
      <c r="G15" s="11"/>
    </row>
    <row r="16" spans="1:7" ht="15">
      <c r="A16" s="46" t="s">
        <v>115</v>
      </c>
      <c r="B16" s="56">
        <v>7052</v>
      </c>
      <c r="C16" s="56">
        <v>6205</v>
      </c>
      <c r="D16" s="8">
        <f t="shared" si="1"/>
        <v>1551.25</v>
      </c>
      <c r="E16" s="12">
        <f t="shared" si="0"/>
        <v>7756.25</v>
      </c>
      <c r="F16" s="54">
        <v>456</v>
      </c>
      <c r="G16" s="11">
        <f t="shared" si="2"/>
        <v>17.009320175438596</v>
      </c>
    </row>
    <row r="17" spans="1:7" ht="15">
      <c r="A17" s="46" t="s">
        <v>116</v>
      </c>
      <c r="B17" s="56">
        <v>7436</v>
      </c>
      <c r="C17" s="56">
        <v>3296</v>
      </c>
      <c r="D17" s="8">
        <f t="shared" si="1"/>
        <v>824</v>
      </c>
      <c r="E17" s="12">
        <f t="shared" si="0"/>
        <v>4120</v>
      </c>
      <c r="F17" s="54">
        <v>294.5</v>
      </c>
      <c r="G17" s="11">
        <f t="shared" si="2"/>
        <v>13.98981324278438</v>
      </c>
    </row>
    <row r="18" spans="1:7" ht="15">
      <c r="A18" s="46" t="s">
        <v>125</v>
      </c>
      <c r="B18" s="56">
        <v>12489</v>
      </c>
      <c r="C18" s="56">
        <v>11493</v>
      </c>
      <c r="D18" s="8">
        <f t="shared" si="1"/>
        <v>2873.25</v>
      </c>
      <c r="E18" s="12">
        <f t="shared" si="0"/>
        <v>14366.25</v>
      </c>
      <c r="F18" s="54">
        <v>684</v>
      </c>
      <c r="G18" s="11">
        <f t="shared" si="2"/>
        <v>21.00328947368421</v>
      </c>
    </row>
    <row r="19" spans="1:7" ht="15">
      <c r="A19" s="46" t="s">
        <v>117</v>
      </c>
      <c r="B19" s="56">
        <v>4335</v>
      </c>
      <c r="C19" s="56">
        <v>4259</v>
      </c>
      <c r="D19" s="8">
        <f t="shared" si="1"/>
        <v>1064.75</v>
      </c>
      <c r="E19" s="12">
        <f t="shared" si="0"/>
        <v>5323.75</v>
      </c>
      <c r="F19" s="54">
        <v>323</v>
      </c>
      <c r="G19" s="11">
        <f t="shared" si="2"/>
        <v>16.48219814241486</v>
      </c>
    </row>
    <row r="20" spans="1:7" ht="15">
      <c r="A20" s="44" t="s">
        <v>132</v>
      </c>
      <c r="B20" s="56">
        <v>1946</v>
      </c>
      <c r="C20" s="56">
        <v>1042</v>
      </c>
      <c r="D20" s="8">
        <f t="shared" si="1"/>
        <v>260.5</v>
      </c>
      <c r="E20" s="12">
        <f t="shared" si="0"/>
        <v>1302.5</v>
      </c>
      <c r="F20" s="54">
        <v>298.3</v>
      </c>
      <c r="G20" s="11">
        <f t="shared" si="2"/>
        <v>4.366409654710023</v>
      </c>
    </row>
    <row r="21" spans="1:7" ht="15">
      <c r="A21" s="44" t="s">
        <v>118</v>
      </c>
      <c r="B21" s="56">
        <v>7005</v>
      </c>
      <c r="C21" s="56">
        <v>6736</v>
      </c>
      <c r="D21" s="8">
        <f t="shared" si="1"/>
        <v>1684</v>
      </c>
      <c r="E21" s="12">
        <f t="shared" si="0"/>
        <v>8420</v>
      </c>
      <c r="F21" s="54">
        <v>180.5</v>
      </c>
      <c r="G21" s="11">
        <f t="shared" si="2"/>
        <v>46.64819944598338</v>
      </c>
    </row>
    <row r="22" spans="1:7" ht="15">
      <c r="A22" s="44" t="s">
        <v>133</v>
      </c>
      <c r="B22" s="56">
        <v>6857</v>
      </c>
      <c r="C22" s="56">
        <v>1143</v>
      </c>
      <c r="D22" s="8">
        <f t="shared" si="1"/>
        <v>285.75</v>
      </c>
      <c r="E22" s="12">
        <f t="shared" si="0"/>
        <v>1428.75</v>
      </c>
      <c r="F22" s="54">
        <v>750.5</v>
      </c>
      <c r="G22" s="11">
        <f t="shared" si="2"/>
        <v>1.9037308461025984</v>
      </c>
    </row>
    <row r="23" spans="1:7" ht="15">
      <c r="A23" s="44" t="s">
        <v>134</v>
      </c>
      <c r="B23" s="56">
        <v>1812</v>
      </c>
      <c r="C23" s="56">
        <v>856</v>
      </c>
      <c r="D23" s="8">
        <f t="shared" si="1"/>
        <v>214</v>
      </c>
      <c r="E23" s="12">
        <f t="shared" si="0"/>
        <v>1070</v>
      </c>
      <c r="F23" s="54">
        <v>152</v>
      </c>
      <c r="G23" s="11">
        <f t="shared" si="2"/>
        <v>7.0394736842105265</v>
      </c>
    </row>
    <row r="24" spans="1:7" ht="15">
      <c r="A24" s="44" t="s">
        <v>126</v>
      </c>
      <c r="B24" s="56">
        <v>12048</v>
      </c>
      <c r="C24" s="56">
        <v>4005</v>
      </c>
      <c r="D24" s="8">
        <f t="shared" si="1"/>
        <v>1001.25</v>
      </c>
      <c r="E24" s="12">
        <f t="shared" si="0"/>
        <v>5006.25</v>
      </c>
      <c r="F24" s="54">
        <v>893</v>
      </c>
      <c r="G24" s="11">
        <f t="shared" si="2"/>
        <v>5.606103023516237</v>
      </c>
    </row>
    <row r="25" spans="1:7" ht="15">
      <c r="A25" s="44" t="s">
        <v>119</v>
      </c>
      <c r="B25" s="56">
        <v>9476</v>
      </c>
      <c r="C25" s="56">
        <v>9352</v>
      </c>
      <c r="D25" s="8">
        <f t="shared" si="1"/>
        <v>2338</v>
      </c>
      <c r="E25" s="12">
        <f t="shared" si="0"/>
        <v>11690</v>
      </c>
      <c r="F25" s="54">
        <v>346.75</v>
      </c>
      <c r="G25" s="11">
        <f t="shared" si="2"/>
        <v>33.71304974765681</v>
      </c>
    </row>
    <row r="26" spans="1:7" ht="15">
      <c r="A26" s="44" t="s">
        <v>120</v>
      </c>
      <c r="B26" s="56">
        <v>7668</v>
      </c>
      <c r="C26" s="56">
        <v>4866</v>
      </c>
      <c r="D26" s="8">
        <f t="shared" si="1"/>
        <v>1216.5</v>
      </c>
      <c r="E26" s="12">
        <f t="shared" si="0"/>
        <v>6082.5</v>
      </c>
      <c r="F26" s="54">
        <v>351.5</v>
      </c>
      <c r="G26" s="11">
        <f t="shared" si="2"/>
        <v>17.304409672830726</v>
      </c>
    </row>
    <row r="27" spans="1:7" ht="15">
      <c r="A27" s="45" t="s">
        <v>121</v>
      </c>
      <c r="B27" s="56">
        <v>2672</v>
      </c>
      <c r="C27" s="56">
        <v>2567</v>
      </c>
      <c r="D27" s="8">
        <f t="shared" si="1"/>
        <v>641.75</v>
      </c>
      <c r="E27" s="12">
        <f t="shared" si="0"/>
        <v>3208.75</v>
      </c>
      <c r="F27" s="54">
        <v>228</v>
      </c>
      <c r="G27" s="11">
        <f t="shared" si="2"/>
        <v>14.073464912280702</v>
      </c>
    </row>
    <row r="28" spans="1:7" ht="15">
      <c r="A28" s="44" t="s">
        <v>127</v>
      </c>
      <c r="B28" s="56">
        <v>8419</v>
      </c>
      <c r="C28" s="56">
        <v>8560</v>
      </c>
      <c r="D28" s="8">
        <f t="shared" si="1"/>
        <v>2140</v>
      </c>
      <c r="E28" s="12">
        <f t="shared" si="0"/>
        <v>10700</v>
      </c>
      <c r="F28" s="54">
        <v>522.5</v>
      </c>
      <c r="G28" s="11">
        <f t="shared" si="2"/>
        <v>20.47846889952153</v>
      </c>
    </row>
    <row r="29" spans="1:7" ht="15">
      <c r="A29" s="44" t="s">
        <v>92</v>
      </c>
      <c r="B29" s="56">
        <v>6792</v>
      </c>
      <c r="C29" s="56">
        <v>6100</v>
      </c>
      <c r="D29" s="8">
        <f t="shared" si="1"/>
        <v>1525</v>
      </c>
      <c r="E29" s="12">
        <f t="shared" si="0"/>
        <v>7625</v>
      </c>
      <c r="F29" s="54">
        <v>337.25</v>
      </c>
      <c r="G29" s="11">
        <f t="shared" si="2"/>
        <v>22.609340252038546</v>
      </c>
    </row>
    <row r="30" spans="1:7" ht="15">
      <c r="A30" s="44" t="s">
        <v>135</v>
      </c>
      <c r="B30" s="56">
        <v>2797</v>
      </c>
      <c r="C30" s="56">
        <v>1447</v>
      </c>
      <c r="D30" s="8">
        <f t="shared" si="1"/>
        <v>361.75</v>
      </c>
      <c r="E30" s="12">
        <f t="shared" si="0"/>
        <v>1808.75</v>
      </c>
      <c r="F30" s="54">
        <v>589</v>
      </c>
      <c r="G30" s="11">
        <f t="shared" si="2"/>
        <v>3.07088285229202</v>
      </c>
    </row>
    <row r="31" spans="1:7" ht="15">
      <c r="A31" s="44" t="s">
        <v>122</v>
      </c>
      <c r="B31" s="56">
        <v>4092</v>
      </c>
      <c r="C31" s="56">
        <v>3463</v>
      </c>
      <c r="D31" s="8">
        <f t="shared" si="1"/>
        <v>865.75</v>
      </c>
      <c r="E31" s="12">
        <f t="shared" si="0"/>
        <v>4328.75</v>
      </c>
      <c r="F31" s="54">
        <v>166.25</v>
      </c>
      <c r="G31" s="11">
        <f t="shared" si="2"/>
        <v>26.037593984962406</v>
      </c>
    </row>
    <row r="32" spans="1:7" ht="15">
      <c r="A32" s="44" t="s">
        <v>128</v>
      </c>
      <c r="B32" s="56">
        <v>8997</v>
      </c>
      <c r="C32" s="56">
        <v>5630</v>
      </c>
      <c r="D32" s="8">
        <f t="shared" si="1"/>
        <v>1407.5</v>
      </c>
      <c r="E32" s="12">
        <f t="shared" si="0"/>
        <v>7037.5</v>
      </c>
      <c r="F32" s="54">
        <v>527.25</v>
      </c>
      <c r="G32" s="11">
        <f t="shared" si="2"/>
        <v>13.34755808440019</v>
      </c>
    </row>
    <row r="33" spans="1:7" ht="45">
      <c r="A33" s="2" t="s">
        <v>85</v>
      </c>
      <c r="B33" s="3" t="s">
        <v>87</v>
      </c>
      <c r="C33" s="3" t="s">
        <v>86</v>
      </c>
      <c r="D33" s="1" t="s">
        <v>140</v>
      </c>
      <c r="E33" s="3" t="s">
        <v>88</v>
      </c>
      <c r="F33" s="3" t="s">
        <v>89</v>
      </c>
      <c r="G33" s="4" t="s">
        <v>46</v>
      </c>
    </row>
    <row r="34" spans="1:7" ht="15">
      <c r="A34" s="44" t="s">
        <v>129</v>
      </c>
      <c r="B34" s="56">
        <v>1597</v>
      </c>
      <c r="C34" s="56">
        <v>1012</v>
      </c>
      <c r="D34" s="8">
        <f t="shared" si="1"/>
        <v>253</v>
      </c>
      <c r="E34" s="8">
        <f aca="true" t="shared" si="3" ref="E34:E46">SUM(C34+D34)</f>
        <v>1265</v>
      </c>
      <c r="F34" s="54">
        <v>408.5</v>
      </c>
      <c r="G34" s="11">
        <f t="shared" si="2"/>
        <v>3.0966952264381886</v>
      </c>
    </row>
    <row r="35" spans="1:7" ht="15">
      <c r="A35" s="44" t="s">
        <v>130</v>
      </c>
      <c r="B35" s="56">
        <v>260</v>
      </c>
      <c r="C35" s="56">
        <v>279</v>
      </c>
      <c r="D35" s="8">
        <f t="shared" si="1"/>
        <v>69.75</v>
      </c>
      <c r="E35" s="8">
        <f t="shared" si="3"/>
        <v>348.75</v>
      </c>
      <c r="F35" s="54">
        <v>57</v>
      </c>
      <c r="G35" s="11">
        <f t="shared" si="2"/>
        <v>6.118421052631579</v>
      </c>
    </row>
    <row r="36" spans="1:7" ht="15">
      <c r="A36" s="44" t="s">
        <v>123</v>
      </c>
      <c r="B36" s="56">
        <v>1678</v>
      </c>
      <c r="C36" s="56">
        <v>532</v>
      </c>
      <c r="D36" s="8">
        <f t="shared" si="1"/>
        <v>133</v>
      </c>
      <c r="E36" s="8">
        <f t="shared" si="3"/>
        <v>665</v>
      </c>
      <c r="F36" s="54">
        <v>190</v>
      </c>
      <c r="G36" s="11">
        <f t="shared" si="2"/>
        <v>3.5</v>
      </c>
    </row>
    <row r="37" spans="1:7" ht="15">
      <c r="A37" s="45" t="s">
        <v>97</v>
      </c>
      <c r="B37" s="56">
        <v>4315</v>
      </c>
      <c r="C37" s="56">
        <v>2473</v>
      </c>
      <c r="D37" s="8">
        <f t="shared" si="1"/>
        <v>618.25</v>
      </c>
      <c r="E37" s="8">
        <f t="shared" si="3"/>
        <v>3091.25</v>
      </c>
      <c r="F37" s="54">
        <v>166.25</v>
      </c>
      <c r="G37" s="11">
        <f t="shared" si="2"/>
        <v>18.593984962406015</v>
      </c>
    </row>
    <row r="38" spans="1:7" ht="15">
      <c r="A38" s="44" t="s">
        <v>131</v>
      </c>
      <c r="B38" s="56">
        <v>1556</v>
      </c>
      <c r="C38" s="56">
        <v>521</v>
      </c>
      <c r="D38" s="8">
        <f t="shared" si="1"/>
        <v>130.25</v>
      </c>
      <c r="E38" s="8">
        <f t="shared" si="3"/>
        <v>651.25</v>
      </c>
      <c r="F38" s="54">
        <v>279.3</v>
      </c>
      <c r="G38" s="11">
        <f t="shared" si="2"/>
        <v>2.33172216254923</v>
      </c>
    </row>
    <row r="39" spans="1:7" ht="15">
      <c r="A39" s="44" t="s">
        <v>98</v>
      </c>
      <c r="B39" s="56">
        <v>6896</v>
      </c>
      <c r="C39" s="56">
        <v>6873</v>
      </c>
      <c r="D39" s="8">
        <f t="shared" si="1"/>
        <v>1718.25</v>
      </c>
      <c r="E39" s="8">
        <f t="shared" si="3"/>
        <v>8591.25</v>
      </c>
      <c r="F39" s="54">
        <v>152</v>
      </c>
      <c r="G39" s="11">
        <f t="shared" si="2"/>
        <v>56.52138157894737</v>
      </c>
    </row>
    <row r="40" spans="1:7" ht="15">
      <c r="A40" s="46" t="s">
        <v>124</v>
      </c>
      <c r="B40" s="56">
        <v>9152</v>
      </c>
      <c r="C40" s="56">
        <v>8588</v>
      </c>
      <c r="D40" s="8">
        <f t="shared" si="1"/>
        <v>2147</v>
      </c>
      <c r="E40" s="8">
        <f t="shared" si="3"/>
        <v>10735</v>
      </c>
      <c r="F40" s="54">
        <v>503.5</v>
      </c>
      <c r="G40" s="11">
        <f t="shared" si="2"/>
        <v>21.32075471698113</v>
      </c>
    </row>
    <row r="41" spans="1:7" ht="15">
      <c r="A41" s="46" t="s">
        <v>93</v>
      </c>
      <c r="B41" s="56">
        <v>9153</v>
      </c>
      <c r="C41" s="56">
        <v>7320</v>
      </c>
      <c r="D41" s="8">
        <f t="shared" si="1"/>
        <v>1830</v>
      </c>
      <c r="E41" s="8">
        <f t="shared" si="3"/>
        <v>9150</v>
      </c>
      <c r="F41" s="54">
        <v>451.25</v>
      </c>
      <c r="G41" s="11">
        <f t="shared" si="2"/>
        <v>20.277008310249307</v>
      </c>
    </row>
    <row r="42" spans="1:7" ht="15">
      <c r="A42" s="46" t="s">
        <v>99</v>
      </c>
      <c r="B42" s="56">
        <v>7958</v>
      </c>
      <c r="C42" s="56">
        <v>6643</v>
      </c>
      <c r="D42" s="8">
        <f t="shared" si="1"/>
        <v>1660.75</v>
      </c>
      <c r="E42" s="8">
        <f t="shared" si="3"/>
        <v>8303.75</v>
      </c>
      <c r="F42" s="54">
        <v>441.75</v>
      </c>
      <c r="G42" s="11">
        <f t="shared" si="2"/>
        <v>18.797396717600453</v>
      </c>
    </row>
    <row r="43" spans="1:7" ht="15">
      <c r="A43" s="47" t="s">
        <v>100</v>
      </c>
      <c r="B43" s="56">
        <v>7024</v>
      </c>
      <c r="C43" s="56">
        <v>4062</v>
      </c>
      <c r="D43" s="8">
        <f t="shared" si="1"/>
        <v>1015.5</v>
      </c>
      <c r="E43" s="8">
        <f t="shared" si="3"/>
        <v>5077.5</v>
      </c>
      <c r="F43" s="54">
        <v>389.5</v>
      </c>
      <c r="G43" s="11">
        <f t="shared" si="2"/>
        <v>13.03594351732991</v>
      </c>
    </row>
    <row r="44" spans="1:7" ht="15">
      <c r="A44" s="44" t="s">
        <v>101</v>
      </c>
      <c r="B44" s="56">
        <v>12205</v>
      </c>
      <c r="C44" s="56">
        <v>8028</v>
      </c>
      <c r="D44" s="8">
        <f t="shared" si="1"/>
        <v>2007</v>
      </c>
      <c r="E44" s="8">
        <f t="shared" si="3"/>
        <v>10035</v>
      </c>
      <c r="F44" s="54">
        <v>996.3599999999999</v>
      </c>
      <c r="G44" s="11">
        <f t="shared" si="2"/>
        <v>10.07166084547754</v>
      </c>
    </row>
    <row r="45" spans="1:7" ht="15">
      <c r="A45" s="46" t="s">
        <v>102</v>
      </c>
      <c r="B45" s="56">
        <v>10197</v>
      </c>
      <c r="C45" s="56">
        <v>7454</v>
      </c>
      <c r="D45" s="8">
        <f t="shared" si="1"/>
        <v>1863.5</v>
      </c>
      <c r="E45" s="8">
        <f t="shared" si="3"/>
        <v>9317.5</v>
      </c>
      <c r="F45" s="54">
        <v>522.5</v>
      </c>
      <c r="G45" s="11">
        <f t="shared" si="2"/>
        <v>17.832535885167463</v>
      </c>
    </row>
    <row r="46" spans="1:7" ht="15">
      <c r="A46" s="46" t="s">
        <v>103</v>
      </c>
      <c r="B46" s="56">
        <v>4678</v>
      </c>
      <c r="C46" s="56">
        <v>1224</v>
      </c>
      <c r="D46" s="8">
        <f t="shared" si="1"/>
        <v>306</v>
      </c>
      <c r="E46" s="8">
        <f t="shared" si="3"/>
        <v>1530</v>
      </c>
      <c r="F46" s="54">
        <v>133</v>
      </c>
      <c r="G46" s="11">
        <f t="shared" si="2"/>
        <v>11.503759398496241</v>
      </c>
    </row>
    <row r="47" spans="1:7" ht="15.75" thickBot="1">
      <c r="A47" s="46" t="s">
        <v>137</v>
      </c>
      <c r="B47" s="7"/>
      <c r="C47" s="41"/>
      <c r="D47" s="7"/>
      <c r="E47" s="7"/>
      <c r="F47" s="55">
        <v>2565</v>
      </c>
      <c r="G47" s="11"/>
    </row>
    <row r="48" spans="1:7" ht="15">
      <c r="A48" s="44"/>
      <c r="B48" s="7"/>
      <c r="C48" s="7"/>
      <c r="D48" s="7"/>
      <c r="E48" s="7"/>
      <c r="F48" s="7"/>
      <c r="G48" s="11"/>
    </row>
    <row r="49" spans="1:7" ht="15">
      <c r="A49" s="48" t="s">
        <v>138</v>
      </c>
      <c r="B49" s="18">
        <f>SUM(B2:B48)</f>
        <v>290927</v>
      </c>
      <c r="C49" s="18">
        <f>SUM(C2:C48)</f>
        <v>212841</v>
      </c>
      <c r="D49" s="18">
        <f>SUM(D2:D48)</f>
        <v>53210.25</v>
      </c>
      <c r="E49" s="18">
        <f>SUM(E2:E48)</f>
        <v>266051.25</v>
      </c>
      <c r="F49" s="15">
        <f>SUM(F2:F48)</f>
        <v>19372.21</v>
      </c>
      <c r="G49" s="11">
        <f>AVERAGE(G2:G48)</f>
        <v>17.500842951412327</v>
      </c>
    </row>
    <row r="50" spans="1:7" ht="15">
      <c r="A50" s="13"/>
      <c r="B50" s="2"/>
      <c r="C50" s="2"/>
      <c r="D50" s="2"/>
      <c r="E50" s="2"/>
      <c r="F50" s="2"/>
      <c r="G50" s="2"/>
    </row>
    <row r="51" spans="1:7" ht="15">
      <c r="A51" s="48"/>
      <c r="B51" s="48"/>
      <c r="C51" s="48"/>
      <c r="D51" s="48"/>
      <c r="E51" s="48"/>
      <c r="F51" s="48"/>
      <c r="G51" s="48"/>
    </row>
  </sheetData>
  <printOptions/>
  <pageMargins left="0.2" right="0.2" top="0.5" bottom="0.5" header="0.05" footer="0"/>
  <pageSetup horizontalDpi="600" verticalDpi="600" orientation="landscape"/>
  <headerFooter alignWithMargins="0">
    <oddHeader>&amp;C&amp;14Meals Per Lbor Hour Calculation Work Sheet&amp;"-,Bold"   February  &amp;KFF00002012  SY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8" sqref="G38"/>
    </sheetView>
  </sheetViews>
  <sheetFormatPr defaultColWidth="8.57421875" defaultRowHeight="15"/>
  <sheetData/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="110" zoomScaleNormal="110" workbookViewId="0" topLeftCell="A39">
      <selection activeCell="B50" sqref="B50"/>
    </sheetView>
  </sheetViews>
  <sheetFormatPr defaultColWidth="8.57421875" defaultRowHeight="15"/>
  <cols>
    <col min="1" max="1" width="35.28125" style="43" customWidth="1"/>
    <col min="2" max="2" width="9.7109375" style="43" customWidth="1"/>
    <col min="3" max="3" width="10.00390625" style="43" customWidth="1"/>
    <col min="4" max="4" width="10.140625" style="43" customWidth="1"/>
    <col min="5" max="5" width="11.28125" style="125" customWidth="1"/>
    <col min="6" max="6" width="12.140625" style="43" customWidth="1"/>
    <col min="7" max="8" width="12.28125" style="43" customWidth="1"/>
    <col min="9" max="9" width="10.28125" style="43" customWidth="1"/>
    <col min="10" max="10" width="12.140625" style="43" customWidth="1"/>
    <col min="11" max="11" width="6.28125" style="43" customWidth="1"/>
    <col min="12" max="16384" width="8.57421875" style="43" customWidth="1"/>
  </cols>
  <sheetData>
    <row r="1" spans="1:10" ht="63.75" customHeight="1" thickBot="1">
      <c r="A1" s="68" t="s">
        <v>85</v>
      </c>
      <c r="B1" s="131" t="s">
        <v>87</v>
      </c>
      <c r="C1" s="131" t="s">
        <v>86</v>
      </c>
      <c r="D1" s="197" t="s">
        <v>80</v>
      </c>
      <c r="E1" s="198" t="s">
        <v>54</v>
      </c>
      <c r="F1" s="198" t="s">
        <v>96</v>
      </c>
      <c r="G1" s="71" t="s">
        <v>45</v>
      </c>
      <c r="H1" s="72" t="s">
        <v>48</v>
      </c>
      <c r="I1" s="72" t="s">
        <v>38</v>
      </c>
      <c r="J1" s="258" t="s">
        <v>19</v>
      </c>
    </row>
    <row r="2" spans="1:10" ht="15.75" thickBot="1">
      <c r="A2" s="103" t="s">
        <v>104</v>
      </c>
      <c r="B2" s="180">
        <v>5563</v>
      </c>
      <c r="C2" s="180">
        <v>5407</v>
      </c>
      <c r="D2" s="181">
        <f>C2/4</f>
        <v>1351.75</v>
      </c>
      <c r="E2" s="181">
        <f>SUM(B2+D2)</f>
        <v>6914.75</v>
      </c>
      <c r="F2" s="194">
        <v>288.75</v>
      </c>
      <c r="G2" s="126">
        <f>E2/F2</f>
        <v>23.947186147186148</v>
      </c>
      <c r="H2" s="182">
        <f>(F2-60.5)*(16.44)+(F2-60.5)*(73%*8.22)+(60.5*11.25)</f>
        <v>5802.69195</v>
      </c>
      <c r="I2" s="130">
        <f>H2/(B2*2.2093+C2*1.4526)</f>
        <v>0.2880527810008865</v>
      </c>
      <c r="J2" s="254" t="s">
        <v>20</v>
      </c>
    </row>
    <row r="3" spans="1:10" ht="15.75" thickBot="1">
      <c r="A3" s="101" t="s">
        <v>105</v>
      </c>
      <c r="B3" s="164">
        <v>5228</v>
      </c>
      <c r="C3" s="164">
        <v>4710</v>
      </c>
      <c r="D3" s="159">
        <f aca="true" t="shared" si="0" ref="D3:D47">C3/4</f>
        <v>1177.5</v>
      </c>
      <c r="E3" s="181">
        <f>SUM(B3+D3)</f>
        <v>6405.5</v>
      </c>
      <c r="F3" s="195">
        <v>266</v>
      </c>
      <c r="G3" s="123">
        <f>E3/F3</f>
        <v>24.080827067669173</v>
      </c>
      <c r="H3" s="182">
        <f>(F3-100.25)*(16.44)+(F3-100.25)*(73%*8.22)+(100.25*11.25)+268.13</f>
        <v>5115.47195</v>
      </c>
      <c r="I3" s="130">
        <f aca="true" t="shared" si="1" ref="I3:I32">H3/(B3*2.2093+C3*1.4526)</f>
        <v>0.2781362165820399</v>
      </c>
      <c r="J3" s="254" t="s">
        <v>20</v>
      </c>
    </row>
    <row r="4" spans="1:10" ht="15.75" thickBot="1">
      <c r="A4" s="102" t="s">
        <v>106</v>
      </c>
      <c r="B4" s="164">
        <v>4665</v>
      </c>
      <c r="C4" s="164">
        <v>5009</v>
      </c>
      <c r="D4" s="159">
        <f t="shared" si="0"/>
        <v>1252.25</v>
      </c>
      <c r="E4" s="181">
        <f>SUM(B4+D4)</f>
        <v>5917.25</v>
      </c>
      <c r="F4" s="196">
        <v>299.25</v>
      </c>
      <c r="G4" s="123">
        <f aca="true" t="shared" si="2" ref="G4:G47">E4/F4</f>
        <v>19.77360066833751</v>
      </c>
      <c r="H4" s="182">
        <f>(F4-23)*(16.44)+(F4-23)*(73%*8.22)+(23*11.25)</f>
        <v>6457.96575</v>
      </c>
      <c r="I4" s="130">
        <f t="shared" si="1"/>
        <v>0.36729595979865826</v>
      </c>
      <c r="J4" s="254" t="s">
        <v>22</v>
      </c>
    </row>
    <row r="5" spans="1:10" ht="15.75" thickBot="1">
      <c r="A5" s="102" t="s">
        <v>107</v>
      </c>
      <c r="B5" s="164">
        <v>3803</v>
      </c>
      <c r="C5" s="164">
        <v>1462</v>
      </c>
      <c r="D5" s="159">
        <f t="shared" si="0"/>
        <v>365.5</v>
      </c>
      <c r="E5" s="181">
        <f>SUM(B5+D5)</f>
        <v>4168.5</v>
      </c>
      <c r="F5" s="195">
        <v>376.25</v>
      </c>
      <c r="G5" s="123">
        <f t="shared" si="2"/>
        <v>11.07906976744186</v>
      </c>
      <c r="H5" s="182">
        <f>(F5-49)*(16.44)+(F5-49)*(73%*8.22)+(49*11.25)</f>
        <v>7894.936350000001</v>
      </c>
      <c r="I5" s="130">
        <f t="shared" si="1"/>
        <v>0.7500650338703885</v>
      </c>
      <c r="J5" s="254" t="s">
        <v>23</v>
      </c>
    </row>
    <row r="6" spans="1:10" ht="15.75" thickBot="1">
      <c r="A6" s="102" t="s">
        <v>108</v>
      </c>
      <c r="B6" s="164">
        <v>5811</v>
      </c>
      <c r="C6" s="164">
        <v>4102</v>
      </c>
      <c r="D6" s="159">
        <f t="shared" si="0"/>
        <v>1025.5</v>
      </c>
      <c r="E6" s="181">
        <f>SUM(B6+D6)</f>
        <v>6836.5</v>
      </c>
      <c r="F6" s="195">
        <v>268.5</v>
      </c>
      <c r="G6" s="123">
        <f t="shared" si="2"/>
        <v>25.461824953445067</v>
      </c>
      <c r="H6" s="182">
        <f>(F6-0)*(16.44)+(F6-0)*(73%*8.22)+(0*11.25)+247.5</f>
        <v>6272.801100000001</v>
      </c>
      <c r="I6" s="130">
        <f t="shared" si="1"/>
        <v>0.33371630262213414</v>
      </c>
      <c r="J6" s="254" t="s">
        <v>20</v>
      </c>
    </row>
    <row r="7" spans="1:10" ht="15.75" thickBot="1">
      <c r="A7" s="101" t="s">
        <v>109</v>
      </c>
      <c r="B7" s="164">
        <v>4906</v>
      </c>
      <c r="C7" s="164">
        <v>4495</v>
      </c>
      <c r="D7" s="159">
        <f t="shared" si="0"/>
        <v>1123.75</v>
      </c>
      <c r="E7" s="181">
        <f aca="true" t="shared" si="3" ref="E7:E14">SUM(B7+D7)</f>
        <v>6029.75</v>
      </c>
      <c r="F7" s="195">
        <v>324.5</v>
      </c>
      <c r="G7" s="123">
        <f t="shared" si="2"/>
        <v>18.581664098613253</v>
      </c>
      <c r="H7" s="182">
        <f>(F7-68)*(16.44)+(F7-68)*(73%*8.22)+(68.5*11.25)+198</f>
        <v>6724.638900000001</v>
      </c>
      <c r="I7" s="130">
        <f t="shared" si="1"/>
        <v>0.38717970688467485</v>
      </c>
      <c r="J7" s="254" t="s">
        <v>22</v>
      </c>
    </row>
    <row r="8" spans="1:21" ht="15.75" thickBot="1">
      <c r="A8" s="102" t="s">
        <v>68</v>
      </c>
      <c r="B8" s="164">
        <v>5428</v>
      </c>
      <c r="C8" s="164">
        <v>4438</v>
      </c>
      <c r="D8" s="159">
        <f t="shared" si="0"/>
        <v>1109.5</v>
      </c>
      <c r="E8" s="181">
        <f t="shared" si="3"/>
        <v>6537.5</v>
      </c>
      <c r="F8" s="195">
        <v>280</v>
      </c>
      <c r="G8" s="123">
        <f t="shared" si="2"/>
        <v>23.348214285714285</v>
      </c>
      <c r="H8" s="182">
        <f>(F8-0)*(16.44)+(F8-0)*(73%*8.22)+(0*11.25)+160.88</f>
        <v>6444.2480000000005</v>
      </c>
      <c r="I8" s="130">
        <f t="shared" si="1"/>
        <v>0.3494954248232166</v>
      </c>
      <c r="J8" s="254" t="s">
        <v>22</v>
      </c>
      <c r="U8" s="125"/>
    </row>
    <row r="9" spans="1:10" ht="15.75" thickBot="1">
      <c r="A9" s="101" t="s">
        <v>110</v>
      </c>
      <c r="B9" s="164">
        <v>2301</v>
      </c>
      <c r="C9" s="164">
        <v>2210</v>
      </c>
      <c r="D9" s="159">
        <f t="shared" si="0"/>
        <v>552.5</v>
      </c>
      <c r="E9" s="181">
        <f t="shared" si="3"/>
        <v>2853.5</v>
      </c>
      <c r="F9" s="195">
        <v>106.25</v>
      </c>
      <c r="G9" s="123">
        <f t="shared" si="2"/>
        <v>26.856470588235293</v>
      </c>
      <c r="H9" s="182">
        <f>(F9-5.5)*(16.44)+(F9-5.5)*(73%*8.22)+(5.5*11.25)</f>
        <v>2322.7654500000003</v>
      </c>
      <c r="I9" s="130">
        <f t="shared" si="1"/>
        <v>0.2800589311691165</v>
      </c>
      <c r="J9" s="254" t="s">
        <v>24</v>
      </c>
    </row>
    <row r="10" spans="1:10" ht="15.75" thickBot="1">
      <c r="A10" s="102" t="s">
        <v>111</v>
      </c>
      <c r="B10" s="164">
        <v>5473</v>
      </c>
      <c r="C10" s="164">
        <v>3872</v>
      </c>
      <c r="D10" s="159">
        <f t="shared" si="0"/>
        <v>968</v>
      </c>
      <c r="E10" s="181">
        <f t="shared" si="3"/>
        <v>6441</v>
      </c>
      <c r="F10" s="195">
        <v>154.75</v>
      </c>
      <c r="G10" s="123">
        <f t="shared" si="2"/>
        <v>41.62197092084006</v>
      </c>
      <c r="H10" s="182">
        <f>(F10-94)*(16.44)+(F10-94)*(73%*8.22)+(94*11.25)+294.94</f>
        <v>2715.70645</v>
      </c>
      <c r="I10" s="130">
        <f t="shared" si="1"/>
        <v>0.15329146797136853</v>
      </c>
      <c r="J10" s="254" t="s">
        <v>22</v>
      </c>
    </row>
    <row r="11" spans="1:10" ht="15.75" thickBot="1">
      <c r="A11" s="101" t="s">
        <v>67</v>
      </c>
      <c r="B11" s="164">
        <v>6663</v>
      </c>
      <c r="C11" s="164">
        <v>4802</v>
      </c>
      <c r="D11" s="159">
        <f t="shared" si="0"/>
        <v>1200.5</v>
      </c>
      <c r="E11" s="181">
        <f t="shared" si="3"/>
        <v>7863.5</v>
      </c>
      <c r="F11" s="195">
        <v>251.5</v>
      </c>
      <c r="G11" s="123">
        <f t="shared" si="2"/>
        <v>31.266401590457257</v>
      </c>
      <c r="H11" s="182">
        <f>(F11-84)*(16.44)+(F11-84)*(73%*8.22)+(84*11.25)+214.5</f>
        <v>4918.3005</v>
      </c>
      <c r="I11" s="130">
        <f t="shared" si="1"/>
        <v>0.2266920900278025</v>
      </c>
      <c r="J11" s="254" t="s">
        <v>25</v>
      </c>
    </row>
    <row r="12" spans="1:10" ht="15.75" thickBot="1">
      <c r="A12" s="101" t="s">
        <v>63</v>
      </c>
      <c r="B12" s="164">
        <v>6542</v>
      </c>
      <c r="C12" s="164">
        <v>6048</v>
      </c>
      <c r="D12" s="159">
        <f t="shared" si="0"/>
        <v>1512</v>
      </c>
      <c r="E12" s="181">
        <f t="shared" si="3"/>
        <v>8054</v>
      </c>
      <c r="F12" s="195">
        <v>396.5</v>
      </c>
      <c r="G12" s="123">
        <f t="shared" si="2"/>
        <v>20.312736443883985</v>
      </c>
      <c r="H12" s="182">
        <f>(F12-57)*(16.44)+(F12-57)*(73%*8.22)+(57*11.25)+198</f>
        <v>8457.8337</v>
      </c>
      <c r="I12" s="130">
        <f t="shared" si="1"/>
        <v>0.36395679141191734</v>
      </c>
      <c r="J12" s="254" t="s">
        <v>25</v>
      </c>
    </row>
    <row r="13" spans="1:10" ht="15.75" thickBot="1">
      <c r="A13" s="102" t="s">
        <v>136</v>
      </c>
      <c r="B13" s="164">
        <v>4878</v>
      </c>
      <c r="C13" s="164">
        <v>1411</v>
      </c>
      <c r="D13" s="159">
        <f>C13/2</f>
        <v>705.5</v>
      </c>
      <c r="E13" s="181">
        <f t="shared" si="3"/>
        <v>5583.5</v>
      </c>
      <c r="F13" s="195">
        <v>470.75</v>
      </c>
      <c r="G13" s="123">
        <f t="shared" si="2"/>
        <v>11.860860329261817</v>
      </c>
      <c r="H13" s="182">
        <f>(F13-54.5)*(16.44)+(F13-54.5)*(73%*8.22)+(54.5*11.25)</f>
        <v>9954.02475</v>
      </c>
      <c r="I13" s="130">
        <f t="shared" si="1"/>
        <v>0.7760464321599579</v>
      </c>
      <c r="J13" s="254" t="s">
        <v>26</v>
      </c>
    </row>
    <row r="14" spans="1:10" ht="15">
      <c r="A14" s="101" t="s">
        <v>113</v>
      </c>
      <c r="B14" s="164">
        <v>4706</v>
      </c>
      <c r="C14" s="164">
        <v>2660</v>
      </c>
      <c r="D14" s="159">
        <f t="shared" si="0"/>
        <v>665</v>
      </c>
      <c r="E14" s="181">
        <f t="shared" si="3"/>
        <v>5371</v>
      </c>
      <c r="F14" s="195">
        <v>269.25</v>
      </c>
      <c r="G14" s="123">
        <f t="shared" si="2"/>
        <v>19.948003714020427</v>
      </c>
      <c r="H14" s="182">
        <f>(F14-102.75)*(16.44)+(F14-102.75)*(73%*8.22)+(102.75*11.25)</f>
        <v>4892.2974</v>
      </c>
      <c r="I14" s="130">
        <f t="shared" si="1"/>
        <v>0.34305714531621745</v>
      </c>
      <c r="J14" s="254" t="s">
        <v>22</v>
      </c>
    </row>
    <row r="15" spans="1:10" ht="15.75" thickBot="1">
      <c r="A15" s="102" t="s">
        <v>114</v>
      </c>
      <c r="B15" s="164"/>
      <c r="C15" s="164"/>
      <c r="D15" s="159">
        <f t="shared" si="0"/>
        <v>0</v>
      </c>
      <c r="E15" s="181">
        <v>0</v>
      </c>
      <c r="F15" s="195">
        <v>0</v>
      </c>
      <c r="G15" s="123">
        <v>0</v>
      </c>
      <c r="H15" s="185">
        <v>0</v>
      </c>
      <c r="I15" s="130" t="e">
        <f t="shared" si="1"/>
        <v>#DIV/0!</v>
      </c>
      <c r="J15" s="254"/>
    </row>
    <row r="16" spans="1:10" ht="18" customHeight="1" thickBot="1">
      <c r="A16" s="101" t="s">
        <v>115</v>
      </c>
      <c r="B16" s="164">
        <v>4473</v>
      </c>
      <c r="C16" s="164">
        <v>3351</v>
      </c>
      <c r="D16" s="159">
        <f t="shared" si="0"/>
        <v>837.75</v>
      </c>
      <c r="E16" s="181">
        <f aca="true" t="shared" si="4" ref="E16:E32">SUM(B16+D16)</f>
        <v>5310.75</v>
      </c>
      <c r="F16" s="195">
        <v>311.25</v>
      </c>
      <c r="G16" s="123">
        <f t="shared" si="2"/>
        <v>17.06265060240964</v>
      </c>
      <c r="H16" s="182">
        <f>(F16-7.5)*(16.44)+(F16-7.5)*(73%*8.22)+(7.5*11.25)+247.5</f>
        <v>7148.20725</v>
      </c>
      <c r="I16" s="130">
        <f t="shared" si="1"/>
        <v>0.4846287709210016</v>
      </c>
      <c r="J16" s="254" t="s">
        <v>22</v>
      </c>
    </row>
    <row r="17" spans="1:10" ht="15.75" thickBot="1">
      <c r="A17" s="101" t="s">
        <v>116</v>
      </c>
      <c r="B17" s="164">
        <v>3322</v>
      </c>
      <c r="C17" s="164">
        <v>2416</v>
      </c>
      <c r="D17" s="159">
        <f t="shared" si="0"/>
        <v>604</v>
      </c>
      <c r="E17" s="181">
        <f t="shared" si="4"/>
        <v>3926</v>
      </c>
      <c r="F17" s="195">
        <v>227.5</v>
      </c>
      <c r="G17" s="123">
        <f t="shared" si="2"/>
        <v>17.257142857142856</v>
      </c>
      <c r="H17" s="182">
        <f>(F17-9.75)*(16.44)+(F17-9.75)*(73%*8.22)+(9.75*11.25)+214.5</f>
        <v>5210.6281500000005</v>
      </c>
      <c r="I17" s="130">
        <f t="shared" si="1"/>
        <v>0.4802963996989818</v>
      </c>
      <c r="J17" s="254" t="s">
        <v>22</v>
      </c>
    </row>
    <row r="18" spans="1:10" ht="15.75" thickBot="1">
      <c r="A18" s="101" t="s">
        <v>125</v>
      </c>
      <c r="B18" s="164">
        <v>8672</v>
      </c>
      <c r="C18" s="164">
        <v>7642</v>
      </c>
      <c r="D18" s="159">
        <f>C18/2</f>
        <v>3821</v>
      </c>
      <c r="E18" s="181">
        <f t="shared" si="4"/>
        <v>12493</v>
      </c>
      <c r="F18" s="195">
        <v>527.5</v>
      </c>
      <c r="G18" s="123">
        <f t="shared" si="2"/>
        <v>23.683412322274883</v>
      </c>
      <c r="H18" s="182">
        <f>(F18-27.5)*(16.44)+(F18-27.5)*(73%*8.22)+(27.5*11.25)+259.88</f>
        <v>11789.554999999998</v>
      </c>
      <c r="I18" s="130">
        <f t="shared" si="1"/>
        <v>0.3896108921841924</v>
      </c>
      <c r="J18" s="254" t="s">
        <v>27</v>
      </c>
    </row>
    <row r="19" spans="1:10" ht="15.75" thickBot="1">
      <c r="A19" s="101" t="s">
        <v>73</v>
      </c>
      <c r="B19" s="164">
        <v>1589</v>
      </c>
      <c r="C19" s="164">
        <v>1585</v>
      </c>
      <c r="D19" s="159">
        <f t="shared" si="0"/>
        <v>396.25</v>
      </c>
      <c r="E19" s="181">
        <f t="shared" si="4"/>
        <v>1985.25</v>
      </c>
      <c r="F19" s="195">
        <v>178</v>
      </c>
      <c r="G19" s="123">
        <f t="shared" si="2"/>
        <v>11.15308988764045</v>
      </c>
      <c r="H19" s="182">
        <f>(F19-0)*(16.44)+(F19-0)*(73%*8.22)+(0*11.25)</f>
        <v>3994.4268</v>
      </c>
      <c r="I19" s="130">
        <f t="shared" si="1"/>
        <v>0.6871601670938539</v>
      </c>
      <c r="J19" s="254" t="s">
        <v>31</v>
      </c>
    </row>
    <row r="20" spans="1:10" ht="15.75" thickBot="1">
      <c r="A20" s="102" t="s">
        <v>132</v>
      </c>
      <c r="B20" s="164">
        <v>1279</v>
      </c>
      <c r="C20" s="164">
        <v>587</v>
      </c>
      <c r="D20" s="159">
        <f>C20/2</f>
        <v>293.5</v>
      </c>
      <c r="E20" s="181">
        <f t="shared" si="4"/>
        <v>1572.5</v>
      </c>
      <c r="F20" s="195">
        <v>228.5</v>
      </c>
      <c r="G20" s="123">
        <f t="shared" si="2"/>
        <v>6.8818380743982495</v>
      </c>
      <c r="H20" s="182">
        <f>(F20-69.25)*(16.44)+(F20-69.25)*(73%*8.22)+(69.25*11.25)</f>
        <v>4352.72805</v>
      </c>
      <c r="I20" s="130">
        <f t="shared" si="1"/>
        <v>1.183330384111075</v>
      </c>
      <c r="J20" s="254" t="s">
        <v>28</v>
      </c>
    </row>
    <row r="21" spans="1:10" ht="15.75" thickBot="1">
      <c r="A21" s="102" t="s">
        <v>118</v>
      </c>
      <c r="B21" s="164">
        <v>5265</v>
      </c>
      <c r="C21" s="164">
        <v>4666</v>
      </c>
      <c r="D21" s="159">
        <f t="shared" si="0"/>
        <v>1166.5</v>
      </c>
      <c r="E21" s="181">
        <f t="shared" si="4"/>
        <v>6431.5</v>
      </c>
      <c r="F21" s="195">
        <v>284</v>
      </c>
      <c r="G21" s="123">
        <f t="shared" si="2"/>
        <v>22.64612676056338</v>
      </c>
      <c r="H21" s="182">
        <f>(F21-78.25)*(16.44)+(F21-78.25)*(73%*8.22)+(78.25*11.25)+173.25</f>
        <v>5670.71595</v>
      </c>
      <c r="I21" s="130">
        <f t="shared" si="1"/>
        <v>0.3080270916199881</v>
      </c>
      <c r="J21" s="254" t="s">
        <v>22</v>
      </c>
    </row>
    <row r="22" spans="1:10" ht="15.75" thickBot="1">
      <c r="A22" s="102" t="s">
        <v>133</v>
      </c>
      <c r="B22" s="164">
        <v>4114</v>
      </c>
      <c r="C22" s="164">
        <v>1087</v>
      </c>
      <c r="D22" s="159">
        <f>C22/2</f>
        <v>543.5</v>
      </c>
      <c r="E22" s="181">
        <f t="shared" si="4"/>
        <v>4657.5</v>
      </c>
      <c r="F22" s="195">
        <v>565.75</v>
      </c>
      <c r="G22" s="123">
        <f t="shared" si="2"/>
        <v>8.232434821034026</v>
      </c>
      <c r="H22" s="182">
        <f>(F22-48)*(16.44)+(F22-48)*(73%*8.22)+(48*11.25)</f>
        <v>12158.62065</v>
      </c>
      <c r="I22" s="130">
        <f t="shared" si="1"/>
        <v>1.1397243310868346</v>
      </c>
      <c r="J22" s="254" t="s">
        <v>29</v>
      </c>
    </row>
    <row r="23" spans="1:10" ht="15.75" thickBot="1">
      <c r="A23" s="102" t="s">
        <v>134</v>
      </c>
      <c r="B23" s="164">
        <v>1420</v>
      </c>
      <c r="C23" s="164">
        <v>924</v>
      </c>
      <c r="D23" s="159">
        <f t="shared" si="0"/>
        <v>231</v>
      </c>
      <c r="E23" s="181">
        <f t="shared" si="4"/>
        <v>1651</v>
      </c>
      <c r="F23" s="195">
        <v>218.75</v>
      </c>
      <c r="G23" s="123">
        <f t="shared" si="2"/>
        <v>7.547428571428571</v>
      </c>
      <c r="H23" s="182">
        <f>(F23-0)*(16.44)+(F23-0)*(73%*8.22)+(0*11.25)</f>
        <v>4908.88125</v>
      </c>
      <c r="I23" s="130">
        <f t="shared" si="1"/>
        <v>1.0958771363647042</v>
      </c>
      <c r="J23" s="254" t="s">
        <v>33</v>
      </c>
    </row>
    <row r="24" spans="1:10" ht="15.75" thickBot="1">
      <c r="A24" s="102" t="s">
        <v>126</v>
      </c>
      <c r="B24" s="164">
        <v>6903</v>
      </c>
      <c r="C24" s="164">
        <v>2491</v>
      </c>
      <c r="D24" s="159">
        <f>C24/2</f>
        <v>1245.5</v>
      </c>
      <c r="E24" s="181">
        <f t="shared" si="4"/>
        <v>8148.5</v>
      </c>
      <c r="F24" s="195">
        <v>647.5</v>
      </c>
      <c r="G24" s="123">
        <f t="shared" si="2"/>
        <v>12.584555984555985</v>
      </c>
      <c r="H24" s="182">
        <f>(F24-75.5)*(16.44)+(F24-75.5)*(73%*8.22)+(75.5*11.25)</f>
        <v>13685.3982</v>
      </c>
      <c r="I24" s="130">
        <f t="shared" si="1"/>
        <v>0.7252761341622704</v>
      </c>
      <c r="J24" s="254" t="s">
        <v>30</v>
      </c>
    </row>
    <row r="25" spans="1:10" ht="15.75" thickBot="1">
      <c r="A25" s="102" t="s">
        <v>119</v>
      </c>
      <c r="B25" s="164">
        <v>5343</v>
      </c>
      <c r="C25" s="164">
        <v>5135</v>
      </c>
      <c r="D25" s="159">
        <f t="shared" si="0"/>
        <v>1283.75</v>
      </c>
      <c r="E25" s="181">
        <f t="shared" si="4"/>
        <v>6626.75</v>
      </c>
      <c r="F25" s="195">
        <v>274.5</v>
      </c>
      <c r="G25" s="123">
        <f t="shared" si="2"/>
        <v>24.141165755919854</v>
      </c>
      <c r="H25" s="182">
        <f>(F25-58.75)*(16.44)+(F25-58.75)*(73%*8.22)+(58.75*11.25)</f>
        <v>5502.496950000001</v>
      </c>
      <c r="I25" s="130">
        <f t="shared" si="1"/>
        <v>0.2856452936331163</v>
      </c>
      <c r="J25" s="254" t="s">
        <v>20</v>
      </c>
    </row>
    <row r="26" spans="1:10" ht="15.75" thickBot="1">
      <c r="A26" s="102" t="s">
        <v>120</v>
      </c>
      <c r="B26" s="164">
        <v>5666</v>
      </c>
      <c r="C26" s="164">
        <v>3239</v>
      </c>
      <c r="D26" s="159">
        <f t="shared" si="0"/>
        <v>809.75</v>
      </c>
      <c r="E26" s="181">
        <f t="shared" si="4"/>
        <v>6475.75</v>
      </c>
      <c r="F26" s="195">
        <v>263.75</v>
      </c>
      <c r="G26" s="123">
        <f t="shared" si="2"/>
        <v>24.55260663507109</v>
      </c>
      <c r="H26" s="182">
        <f>(F26-6.75)*(16.44)+(F26-6.75)*(73%*8.22)+(6.75*11.25)+294.94</f>
        <v>6138.1116999999995</v>
      </c>
      <c r="I26" s="130">
        <f t="shared" si="1"/>
        <v>0.35639318015448435</v>
      </c>
      <c r="J26" s="254" t="s">
        <v>20</v>
      </c>
    </row>
    <row r="27" spans="1:10" ht="15.75" thickBot="1">
      <c r="A27" s="105" t="s">
        <v>81</v>
      </c>
      <c r="B27" s="164">
        <v>1920</v>
      </c>
      <c r="C27" s="164">
        <v>1978</v>
      </c>
      <c r="D27" s="159">
        <f t="shared" si="0"/>
        <v>494.5</v>
      </c>
      <c r="E27" s="181">
        <f t="shared" si="4"/>
        <v>2414.5</v>
      </c>
      <c r="F27" s="195">
        <v>173.25</v>
      </c>
      <c r="G27" s="123">
        <f t="shared" si="2"/>
        <v>13.936507936507937</v>
      </c>
      <c r="H27" s="182">
        <f>(F27-5.25)*(16.44)+(F27-5.25)*(73%*8.22)+(5.25*11.25)</f>
        <v>3829.0833000000002</v>
      </c>
      <c r="I27" s="130">
        <f t="shared" si="1"/>
        <v>0.5381630540393902</v>
      </c>
      <c r="J27" s="254" t="s">
        <v>31</v>
      </c>
    </row>
    <row r="28" spans="1:10" ht="15.75" thickBot="1">
      <c r="A28" s="102" t="s">
        <v>127</v>
      </c>
      <c r="B28" s="164">
        <v>6466</v>
      </c>
      <c r="C28" s="164">
        <v>6365</v>
      </c>
      <c r="D28" s="159">
        <f>C28/2</f>
        <v>3182.5</v>
      </c>
      <c r="E28" s="181">
        <f t="shared" si="4"/>
        <v>9648.5</v>
      </c>
      <c r="F28" s="195">
        <v>393.25</v>
      </c>
      <c r="G28" s="123">
        <f t="shared" si="2"/>
        <v>24.535282898919263</v>
      </c>
      <c r="H28" s="182">
        <f>(F28-13.5)*(16.44)+(F28-13.5)*(73%*8.22)+(13.5*11.25)</f>
        <v>8673.69285</v>
      </c>
      <c r="I28" s="130">
        <f t="shared" si="1"/>
        <v>0.3686049848819858</v>
      </c>
      <c r="J28" s="254" t="s">
        <v>32</v>
      </c>
    </row>
    <row r="29" spans="1:10" ht="15.75" thickBot="1">
      <c r="A29" s="102" t="s">
        <v>69</v>
      </c>
      <c r="B29" s="164">
        <v>4161</v>
      </c>
      <c r="C29" s="164">
        <v>3669</v>
      </c>
      <c r="D29" s="159">
        <f t="shared" si="0"/>
        <v>917.25</v>
      </c>
      <c r="E29" s="181">
        <f t="shared" si="4"/>
        <v>5078.25</v>
      </c>
      <c r="F29" s="195">
        <v>239.75</v>
      </c>
      <c r="G29" s="123">
        <f t="shared" si="2"/>
        <v>21.181438998957248</v>
      </c>
      <c r="H29" s="182">
        <f>(F29-66.5)*(16.44)+(F29-66.5)*(73%*8.22)+(66.5*11.25)+214.5</f>
        <v>4850.45895</v>
      </c>
      <c r="I29" s="130">
        <f t="shared" si="1"/>
        <v>0.33399644635240056</v>
      </c>
      <c r="J29" s="254" t="s">
        <v>22</v>
      </c>
    </row>
    <row r="30" spans="1:10" ht="15.75" thickBot="1">
      <c r="A30" s="102" t="s">
        <v>135</v>
      </c>
      <c r="B30" s="164">
        <v>1933</v>
      </c>
      <c r="C30" s="164">
        <v>947</v>
      </c>
      <c r="D30" s="159">
        <f>C30/2</f>
        <v>473.5</v>
      </c>
      <c r="E30" s="181">
        <f t="shared" si="4"/>
        <v>2406.5</v>
      </c>
      <c r="F30" s="195">
        <v>404</v>
      </c>
      <c r="G30" s="123">
        <f t="shared" si="2"/>
        <v>5.9566831683168315</v>
      </c>
      <c r="H30" s="182">
        <f>(F30-9)*(16.44)+(F30-9)*(73%*8.22)+(9*11.25)</f>
        <v>8965.287</v>
      </c>
      <c r="I30" s="130">
        <f t="shared" si="1"/>
        <v>1.5878474562603653</v>
      </c>
      <c r="J30" s="254" t="s">
        <v>39</v>
      </c>
    </row>
    <row r="31" spans="1:10" ht="15.75" thickBot="1">
      <c r="A31" s="102" t="s">
        <v>70</v>
      </c>
      <c r="B31" s="164">
        <v>2483</v>
      </c>
      <c r="C31" s="164">
        <v>2020</v>
      </c>
      <c r="D31" s="159">
        <f t="shared" si="0"/>
        <v>505</v>
      </c>
      <c r="E31" s="181">
        <f t="shared" si="4"/>
        <v>2988</v>
      </c>
      <c r="F31" s="195">
        <v>113.5</v>
      </c>
      <c r="G31" s="123">
        <f t="shared" si="2"/>
        <v>26.325991189427313</v>
      </c>
      <c r="H31" s="182">
        <f>(F31-42)*(16.44)+(F31-42)*(73%*8.22)+(42*11.25)+214.5</f>
        <v>2291.5029</v>
      </c>
      <c r="I31" s="130">
        <f t="shared" si="1"/>
        <v>0.27215180139145584</v>
      </c>
      <c r="J31" s="254" t="s">
        <v>24</v>
      </c>
    </row>
    <row r="32" spans="1:10" ht="17.25" customHeight="1">
      <c r="A32" s="102" t="s">
        <v>128</v>
      </c>
      <c r="B32" s="164">
        <v>6199</v>
      </c>
      <c r="C32" s="164">
        <v>4409</v>
      </c>
      <c r="D32" s="159">
        <f>C32/2</f>
        <v>2204.5</v>
      </c>
      <c r="E32" s="159">
        <f t="shared" si="4"/>
        <v>8403.5</v>
      </c>
      <c r="F32" s="195">
        <v>407.25</v>
      </c>
      <c r="G32" s="123">
        <f t="shared" si="2"/>
        <v>20.63474524248005</v>
      </c>
      <c r="H32" s="182">
        <f>(F32-0)*(16.44)+(F32-0)*(73%*8.22)+(0*11.25)+167.06</f>
        <v>9305.994349999999</v>
      </c>
      <c r="I32" s="130">
        <f t="shared" si="1"/>
        <v>0.4629856204569042</v>
      </c>
      <c r="J32" s="254" t="s">
        <v>30</v>
      </c>
    </row>
    <row r="33" spans="1:10" ht="76.5" customHeight="1" thickBot="1">
      <c r="A33" s="144" t="s">
        <v>85</v>
      </c>
      <c r="B33" s="131" t="s">
        <v>87</v>
      </c>
      <c r="C33" s="131" t="s">
        <v>86</v>
      </c>
      <c r="D33" s="117" t="s">
        <v>80</v>
      </c>
      <c r="E33" s="117" t="s">
        <v>54</v>
      </c>
      <c r="F33" s="244" t="s">
        <v>96</v>
      </c>
      <c r="G33" s="145" t="s">
        <v>46</v>
      </c>
      <c r="H33" s="132" t="s">
        <v>48</v>
      </c>
      <c r="I33" s="132"/>
      <c r="J33" s="258" t="s">
        <v>19</v>
      </c>
    </row>
    <row r="34" spans="1:10" ht="15.75" thickBot="1">
      <c r="A34" s="119" t="s">
        <v>129</v>
      </c>
      <c r="B34" s="174">
        <v>1423</v>
      </c>
      <c r="C34" s="187">
        <v>643</v>
      </c>
      <c r="D34" s="173">
        <f>C34/2</f>
        <v>321.5</v>
      </c>
      <c r="E34" s="173">
        <f aca="true" t="shared" si="5" ref="E34:E47">SUM(B34+D34)</f>
        <v>1744.5</v>
      </c>
      <c r="F34" s="193">
        <v>250.25</v>
      </c>
      <c r="G34" s="126">
        <f t="shared" si="2"/>
        <v>6.9710289710289715</v>
      </c>
      <c r="H34" s="182">
        <f>(F34-0)*(16.44)+(F34-0)*(73%*8.22)+(0*11.25)</f>
        <v>5615.760150000001</v>
      </c>
      <c r="I34" s="130">
        <f>H34/(B34*2.2093+C34*1.4526)</f>
        <v>1.377135573973351</v>
      </c>
      <c r="J34" s="254" t="s">
        <v>28</v>
      </c>
    </row>
    <row r="35" spans="1:10" ht="15.75" thickBot="1">
      <c r="A35" s="102" t="s">
        <v>130</v>
      </c>
      <c r="B35" s="175">
        <v>0</v>
      </c>
      <c r="C35" s="188">
        <v>0</v>
      </c>
      <c r="D35" s="173">
        <f>C35/4</f>
        <v>0</v>
      </c>
      <c r="E35" s="173">
        <f t="shared" si="5"/>
        <v>0</v>
      </c>
      <c r="F35" s="163">
        <v>0</v>
      </c>
      <c r="G35" s="123">
        <v>0</v>
      </c>
      <c r="H35" s="182">
        <v>0</v>
      </c>
      <c r="I35" s="130" t="e">
        <f aca="true" t="shared" si="6" ref="I35:I47">H35/(B35*2.2093+C35*1.4526)</f>
        <v>#DIV/0!</v>
      </c>
      <c r="J35" s="254"/>
    </row>
    <row r="36" spans="1:10" ht="15.75" thickBot="1">
      <c r="A36" s="102" t="s">
        <v>61</v>
      </c>
      <c r="B36" s="175">
        <v>1274</v>
      </c>
      <c r="C36" s="188">
        <v>920</v>
      </c>
      <c r="D36" s="169">
        <f t="shared" si="0"/>
        <v>230</v>
      </c>
      <c r="E36" s="173">
        <f t="shared" si="5"/>
        <v>1504</v>
      </c>
      <c r="F36" s="163">
        <v>141</v>
      </c>
      <c r="G36" s="123">
        <f t="shared" si="2"/>
        <v>10.666666666666666</v>
      </c>
      <c r="H36" s="182">
        <f>(F36-0)*(16.44)+(F36-0)*(73%*8.22)+(0*11.25)</f>
        <v>3164.1246</v>
      </c>
      <c r="I36" s="130">
        <f t="shared" si="6"/>
        <v>0.7622486045786789</v>
      </c>
      <c r="J36" s="254" t="s">
        <v>33</v>
      </c>
    </row>
    <row r="37" spans="1:10" ht="15.75" thickBot="1">
      <c r="A37" s="105" t="s">
        <v>97</v>
      </c>
      <c r="B37" s="175">
        <v>2736</v>
      </c>
      <c r="C37" s="188">
        <v>1621</v>
      </c>
      <c r="D37" s="169">
        <f t="shared" si="0"/>
        <v>405.25</v>
      </c>
      <c r="E37" s="173">
        <f t="shared" si="5"/>
        <v>3141.25</v>
      </c>
      <c r="F37" s="163">
        <v>117.75</v>
      </c>
      <c r="G37" s="123">
        <f t="shared" si="2"/>
        <v>26.67728237791932</v>
      </c>
      <c r="H37" s="182">
        <f>(F37-27.75)*(16.44)+(F37-27.75)*(73%*8.22)+(27.75*11.25)+214.5</f>
        <v>2546.3415000000005</v>
      </c>
      <c r="I37" s="130">
        <f t="shared" si="6"/>
        <v>0.3031608170071698</v>
      </c>
      <c r="J37" s="254" t="s">
        <v>24</v>
      </c>
    </row>
    <row r="38" spans="1:10" ht="15.75" thickBot="1">
      <c r="A38" s="102" t="s">
        <v>131</v>
      </c>
      <c r="B38" s="175">
        <v>1073</v>
      </c>
      <c r="C38" s="188">
        <v>304</v>
      </c>
      <c r="D38" s="169">
        <f t="shared" si="0"/>
        <v>76</v>
      </c>
      <c r="E38" s="173">
        <f t="shared" si="5"/>
        <v>1149</v>
      </c>
      <c r="F38" s="163">
        <v>194.25</v>
      </c>
      <c r="G38" s="123">
        <f t="shared" si="2"/>
        <v>5.915057915057915</v>
      </c>
      <c r="H38" s="182">
        <f>(F38-47.5)*(16.44)+(F38-47.5)*(73%*8.22)+(47.5*11.25)</f>
        <v>3827.53305</v>
      </c>
      <c r="I38" s="130">
        <f t="shared" si="6"/>
        <v>1.3610606765389268</v>
      </c>
      <c r="J38" s="254" t="s">
        <v>35</v>
      </c>
    </row>
    <row r="39" spans="1:10" ht="15.75" thickBot="1">
      <c r="A39" s="102" t="s">
        <v>98</v>
      </c>
      <c r="B39" s="175">
        <v>5354</v>
      </c>
      <c r="C39" s="188">
        <v>5403</v>
      </c>
      <c r="D39" s="169">
        <f t="shared" si="0"/>
        <v>1350.75</v>
      </c>
      <c r="E39" s="173">
        <f t="shared" si="5"/>
        <v>6704.75</v>
      </c>
      <c r="F39" s="163">
        <v>174</v>
      </c>
      <c r="G39" s="123">
        <f t="shared" si="2"/>
        <v>38.5330459770115</v>
      </c>
      <c r="H39" s="182">
        <f>(F39-85.5)*(16.44)+(F39-85.5)*(73%*8.22)+(85.5*11.25)+134.06</f>
        <v>3081.9281</v>
      </c>
      <c r="I39" s="130">
        <f t="shared" si="6"/>
        <v>0.1566259931015872</v>
      </c>
      <c r="J39" s="254" t="s">
        <v>20</v>
      </c>
    </row>
    <row r="40" spans="1:10" ht="15.75" thickBot="1">
      <c r="A40" s="101" t="s">
        <v>62</v>
      </c>
      <c r="B40" s="175">
        <v>5698</v>
      </c>
      <c r="C40" s="188">
        <v>5746</v>
      </c>
      <c r="D40" s="169">
        <f>C40/2</f>
        <v>2873</v>
      </c>
      <c r="E40" s="173">
        <f t="shared" si="5"/>
        <v>8571</v>
      </c>
      <c r="F40" s="163">
        <v>370.75</v>
      </c>
      <c r="G40" s="123">
        <f t="shared" si="2"/>
        <v>23.118004045853002</v>
      </c>
      <c r="H40" s="182">
        <f>(F40-26.75)*(16.44)+(F40-26.75)*(73%*8.22)+(26.75*11.25)</f>
        <v>8020.503900000001</v>
      </c>
      <c r="I40" s="130">
        <f t="shared" si="6"/>
        <v>0.3831103607120457</v>
      </c>
      <c r="J40" s="254" t="s">
        <v>30</v>
      </c>
    </row>
    <row r="41" spans="1:10" ht="15.75" thickBot="1">
      <c r="A41" s="101" t="s">
        <v>71</v>
      </c>
      <c r="B41" s="175">
        <v>6036</v>
      </c>
      <c r="C41" s="188">
        <v>5052</v>
      </c>
      <c r="D41" s="169">
        <f>C41/2</f>
        <v>2526</v>
      </c>
      <c r="E41" s="173">
        <f t="shared" si="5"/>
        <v>8562</v>
      </c>
      <c r="F41" s="163">
        <v>287.5</v>
      </c>
      <c r="G41" s="123">
        <f t="shared" si="2"/>
        <v>29.78086956521739</v>
      </c>
      <c r="H41" s="182">
        <f>(F41-0)*(16.44)+(F41-0)*(73%*8.22)+(0*11.25)+268.13</f>
        <v>6719.802500000001</v>
      </c>
      <c r="I41" s="130">
        <f t="shared" si="6"/>
        <v>0.32503844224617845</v>
      </c>
      <c r="J41" s="254" t="s">
        <v>30</v>
      </c>
    </row>
    <row r="42" spans="1:10" ht="15.75" thickBot="1">
      <c r="A42" s="101" t="s">
        <v>99</v>
      </c>
      <c r="B42" s="175">
        <v>5368</v>
      </c>
      <c r="C42" s="188">
        <v>4632</v>
      </c>
      <c r="D42" s="169">
        <f t="shared" si="0"/>
        <v>1158</v>
      </c>
      <c r="E42" s="173">
        <f t="shared" si="5"/>
        <v>6526</v>
      </c>
      <c r="F42" s="163">
        <v>329</v>
      </c>
      <c r="G42" s="123">
        <f t="shared" si="2"/>
        <v>19.835866261398177</v>
      </c>
      <c r="H42" s="182">
        <f>(F42-0)*(16.44)+(F42-0)*(73%*8.22)+(0*11.25)+165</f>
        <v>7547.9574</v>
      </c>
      <c r="I42" s="130">
        <f t="shared" si="6"/>
        <v>0.40606689093506826</v>
      </c>
      <c r="J42" s="254" t="s">
        <v>20</v>
      </c>
    </row>
    <row r="43" spans="1:10" ht="15.75" thickBot="1">
      <c r="A43" s="104" t="s">
        <v>100</v>
      </c>
      <c r="B43" s="175">
        <v>4490</v>
      </c>
      <c r="C43" s="188">
        <v>4094</v>
      </c>
      <c r="D43" s="169">
        <f t="shared" si="0"/>
        <v>1023.5</v>
      </c>
      <c r="E43" s="173">
        <f t="shared" si="5"/>
        <v>5513.5</v>
      </c>
      <c r="F43" s="163">
        <v>281.75</v>
      </c>
      <c r="G43" s="123">
        <f t="shared" si="2"/>
        <v>19.568766637089617</v>
      </c>
      <c r="H43" s="182">
        <f>(F43-72.25)*(16.44)+(F43-72.25)*(73%*8.22)+(72.25*11.25)</f>
        <v>5514.118200000001</v>
      </c>
      <c r="I43" s="130">
        <f t="shared" si="6"/>
        <v>0.3475276972187806</v>
      </c>
      <c r="J43" s="254" t="s">
        <v>22</v>
      </c>
    </row>
    <row r="44" spans="1:10" ht="15.75" thickBot="1">
      <c r="A44" s="102" t="s">
        <v>59</v>
      </c>
      <c r="B44" s="175">
        <v>8767</v>
      </c>
      <c r="C44" s="188">
        <v>4539</v>
      </c>
      <c r="D44" s="169">
        <f>C44/2</f>
        <v>2269.5</v>
      </c>
      <c r="E44" s="173">
        <f t="shared" si="5"/>
        <v>11036.5</v>
      </c>
      <c r="F44" s="163">
        <v>930</v>
      </c>
      <c r="G44" s="123">
        <f t="shared" si="2"/>
        <v>11.867204301075269</v>
      </c>
      <c r="H44" s="182">
        <f>(F44-187.75)*(16.44)+(F44-187.75)*(73%*8.22)+(187.75*11.25)</f>
        <v>18768.72285</v>
      </c>
      <c r="I44" s="130">
        <f t="shared" si="6"/>
        <v>0.7229226245479283</v>
      </c>
      <c r="J44" s="254" t="s">
        <v>40</v>
      </c>
    </row>
    <row r="45" spans="1:10" ht="15.75" thickBot="1">
      <c r="A45" s="101" t="s">
        <v>102</v>
      </c>
      <c r="B45" s="175">
        <v>6439</v>
      </c>
      <c r="C45" s="188">
        <v>4983</v>
      </c>
      <c r="D45" s="169">
        <f t="shared" si="0"/>
        <v>1245.75</v>
      </c>
      <c r="E45" s="173">
        <f t="shared" si="5"/>
        <v>7684.75</v>
      </c>
      <c r="F45" s="163">
        <v>416</v>
      </c>
      <c r="G45" s="123">
        <f t="shared" si="2"/>
        <v>18.47295673076923</v>
      </c>
      <c r="H45" s="182">
        <f>(F45-44.75)*(16.44)+(F45-44.75)*(73%*8.22)+(44.75*11.25)+249.56</f>
        <v>9084.07025</v>
      </c>
      <c r="I45" s="130">
        <f t="shared" si="6"/>
        <v>0.4232237754879528</v>
      </c>
      <c r="J45" s="254" t="s">
        <v>41</v>
      </c>
    </row>
    <row r="46" spans="1:10" ht="15.75" thickBot="1">
      <c r="A46" s="101" t="s">
        <v>72</v>
      </c>
      <c r="B46" s="175">
        <v>2300</v>
      </c>
      <c r="C46" s="188">
        <v>760</v>
      </c>
      <c r="D46" s="169">
        <v>760</v>
      </c>
      <c r="E46" s="173">
        <f t="shared" si="5"/>
        <v>3060</v>
      </c>
      <c r="F46" s="163">
        <v>235.75</v>
      </c>
      <c r="G46" s="123">
        <f t="shared" si="2"/>
        <v>12.97985153764581</v>
      </c>
      <c r="H46" s="182">
        <f>(F46-44)*(16.44)+(F46-44)*(73%*8.22)+(44*11.25)</f>
        <v>4797.98505</v>
      </c>
      <c r="I46" s="130">
        <f t="shared" si="6"/>
        <v>0.7756994573967007</v>
      </c>
      <c r="J46" s="254" t="s">
        <v>37</v>
      </c>
    </row>
    <row r="47" spans="1:10" ht="15.75" thickBot="1">
      <c r="A47" s="101" t="s">
        <v>58</v>
      </c>
      <c r="B47" s="175">
        <v>2830</v>
      </c>
      <c r="C47" s="188">
        <v>2974</v>
      </c>
      <c r="D47" s="169">
        <f t="shared" si="0"/>
        <v>743.5</v>
      </c>
      <c r="E47" s="173">
        <f t="shared" si="5"/>
        <v>3573.5</v>
      </c>
      <c r="F47" s="163">
        <v>135.25</v>
      </c>
      <c r="G47" s="123">
        <f t="shared" si="2"/>
        <v>26.421441774491683</v>
      </c>
      <c r="H47" s="182">
        <f>(F47-58.25)*(16.44)+(F47-58.25)*(73%*8.22)+(58.25*11.25)</f>
        <v>2383.2387</v>
      </c>
      <c r="I47" s="130">
        <f t="shared" si="6"/>
        <v>0.22542182054221163</v>
      </c>
      <c r="J47" s="254" t="s">
        <v>34</v>
      </c>
    </row>
    <row r="48" spans="1:10" ht="15.75" thickBot="1">
      <c r="A48" s="125"/>
      <c r="B48" s="190">
        <f>SUM(B2:B47)</f>
        <v>190963</v>
      </c>
      <c r="C48" s="190">
        <f>SUM(C2:C47)</f>
        <v>144808</v>
      </c>
      <c r="D48" s="190">
        <f>SUM(D2:D47)</f>
        <v>47001.75</v>
      </c>
      <c r="E48" s="189">
        <f>SUM(E2:E47)</f>
        <v>237964.75</v>
      </c>
      <c r="F48" s="241">
        <f>SUM(F2:F47)</f>
        <v>13073.5</v>
      </c>
      <c r="G48" s="123"/>
      <c r="H48" s="251">
        <f>SUM(H2:H47)</f>
        <v>277521.5578</v>
      </c>
      <c r="I48" s="210">
        <f>H48/D50</f>
        <v>0.4389425075101142</v>
      </c>
      <c r="J48" s="255"/>
    </row>
    <row r="49" spans="1:10" ht="17.25" customHeight="1">
      <c r="A49" s="202" t="s">
        <v>82</v>
      </c>
      <c r="B49" s="190"/>
      <c r="C49" s="190"/>
      <c r="D49" s="190"/>
      <c r="E49" s="189"/>
      <c r="F49" s="192"/>
      <c r="G49" s="201"/>
      <c r="H49" s="253">
        <v>64340.61</v>
      </c>
      <c r="I49" s="130" t="e">
        <f>H49/(B49*2.085+C49*1.425)</f>
        <v>#DIV/0!</v>
      </c>
      <c r="J49" s="256"/>
    </row>
    <row r="50" spans="1:10" ht="15.75" thickBot="1">
      <c r="A50" s="84" t="s">
        <v>49</v>
      </c>
      <c r="B50" s="219">
        <f>B48*2.20931</f>
        <v>421896.46553</v>
      </c>
      <c r="C50" s="219">
        <f>C48*1.45264</f>
        <v>210353.89312</v>
      </c>
      <c r="D50" s="219">
        <f>SUM(B50:C50)</f>
        <v>632250.35865</v>
      </c>
      <c r="E50" s="259"/>
      <c r="F50" s="114"/>
      <c r="G50" s="115"/>
      <c r="H50" s="252">
        <f>SUM(H48:H49)</f>
        <v>341862.1678</v>
      </c>
      <c r="I50" s="211">
        <f>H50/D50</f>
        <v>0.5407069574937916</v>
      </c>
      <c r="J50" s="257"/>
    </row>
    <row r="51" ht="15">
      <c r="F51" s="243">
        <f>F48+F52</f>
        <v>14861.5</v>
      </c>
    </row>
    <row r="52" spans="1:10" ht="15.75" thickBot="1">
      <c r="A52" s="101" t="s">
        <v>137</v>
      </c>
      <c r="B52" s="7"/>
      <c r="C52" s="7"/>
      <c r="D52" s="7"/>
      <c r="E52" s="118">
        <v>275742</v>
      </c>
      <c r="F52" s="245">
        <v>1788</v>
      </c>
      <c r="G52" s="11"/>
      <c r="H52" s="60"/>
      <c r="I52" s="60"/>
      <c r="J52" s="60"/>
    </row>
    <row r="53" spans="1:10" ht="18.75" thickBot="1">
      <c r="A53" s="91" t="s">
        <v>50</v>
      </c>
      <c r="B53" s="75"/>
      <c r="C53" s="248" t="s">
        <v>17</v>
      </c>
      <c r="D53" s="75" t="s">
        <v>18</v>
      </c>
      <c r="F53" s="250">
        <f>E48/F51</f>
        <v>16.012162298556675</v>
      </c>
      <c r="H53" s="203"/>
      <c r="I53" s="203"/>
      <c r="J53" s="203"/>
    </row>
    <row r="54" ht="15">
      <c r="A54" s="214" t="s">
        <v>51</v>
      </c>
    </row>
    <row r="55" ht="15">
      <c r="A55" s="215" t="s">
        <v>0</v>
      </c>
    </row>
    <row r="56" ht="15">
      <c r="A56" s="214" t="s">
        <v>53</v>
      </c>
    </row>
    <row r="57" spans="1:3" ht="15">
      <c r="A57" s="214" t="s">
        <v>57</v>
      </c>
      <c r="B57" s="92"/>
      <c r="C57" s="92"/>
    </row>
    <row r="58" ht="15">
      <c r="A58" s="214" t="s">
        <v>65</v>
      </c>
    </row>
    <row r="59" spans="1:10" ht="15">
      <c r="A59" s="214" t="s">
        <v>66</v>
      </c>
      <c r="H59" s="249"/>
      <c r="I59" s="249"/>
      <c r="J59" s="249"/>
    </row>
    <row r="60" ht="15">
      <c r="A60" s="212" t="s">
        <v>42</v>
      </c>
    </row>
    <row r="61" spans="1:7" ht="15">
      <c r="A61" s="213" t="s">
        <v>1</v>
      </c>
      <c r="F61" s="49"/>
      <c r="G61" s="49"/>
    </row>
    <row r="62" spans="6:7" ht="15">
      <c r="F62" s="49"/>
      <c r="G62" s="49"/>
    </row>
    <row r="63" spans="6:7" ht="15">
      <c r="F63" s="49"/>
      <c r="G63" s="49"/>
    </row>
    <row r="64" spans="6:7" ht="15">
      <c r="F64" s="49"/>
      <c r="G64" s="49"/>
    </row>
  </sheetData>
  <printOptions/>
  <pageMargins left="0.020833333333333332" right="0" top="0.5" bottom="0.5" header="0.05" footer="0"/>
  <pageSetup horizontalDpi="600" verticalDpi="600" orientation="landscape"/>
  <headerFooter alignWithMargins="0">
    <oddHeader>&amp;C&amp;"-,Bold"&amp;KFF0000MPLH   Feb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38">
      <selection activeCell="J56" sqref="J56"/>
    </sheetView>
  </sheetViews>
  <sheetFormatPr defaultColWidth="8.57421875" defaultRowHeight="15"/>
  <cols>
    <col min="1" max="1" width="35.28125" style="43" customWidth="1"/>
    <col min="2" max="2" width="9.7109375" style="43" customWidth="1"/>
    <col min="3" max="3" width="10.00390625" style="43" customWidth="1"/>
    <col min="4" max="4" width="10.140625" style="43" customWidth="1"/>
    <col min="5" max="5" width="11.28125" style="125" customWidth="1"/>
    <col min="6" max="6" width="12.140625" style="43" customWidth="1"/>
    <col min="7" max="8" width="12.28125" style="43" customWidth="1"/>
    <col min="9" max="9" width="10.28125" style="43" customWidth="1"/>
    <col min="10" max="10" width="12.140625" style="43" customWidth="1"/>
    <col min="11" max="11" width="6.28125" style="43" customWidth="1"/>
    <col min="12" max="16384" width="8.57421875" style="43" customWidth="1"/>
  </cols>
  <sheetData>
    <row r="1" spans="1:10" ht="63.75" customHeight="1" thickBot="1">
      <c r="A1" s="68" t="s">
        <v>85</v>
      </c>
      <c r="B1" s="131" t="s">
        <v>87</v>
      </c>
      <c r="C1" s="131" t="s">
        <v>86</v>
      </c>
      <c r="D1" s="197" t="s">
        <v>80</v>
      </c>
      <c r="E1" s="198" t="s">
        <v>54</v>
      </c>
      <c r="F1" s="198" t="s">
        <v>96</v>
      </c>
      <c r="G1" s="71" t="s">
        <v>45</v>
      </c>
      <c r="H1" s="72" t="s">
        <v>48</v>
      </c>
      <c r="I1" s="72" t="s">
        <v>38</v>
      </c>
      <c r="J1" s="258" t="s">
        <v>19</v>
      </c>
    </row>
    <row r="2" spans="1:10" ht="15.75" thickBot="1">
      <c r="A2" s="103" t="s">
        <v>104</v>
      </c>
      <c r="B2" s="180">
        <v>8510</v>
      </c>
      <c r="C2" s="180">
        <v>8656</v>
      </c>
      <c r="D2" s="181">
        <f>C2/4</f>
        <v>2164</v>
      </c>
      <c r="E2" s="181">
        <f>SUM(B2+D2)</f>
        <v>10674</v>
      </c>
      <c r="F2" s="194">
        <v>449.25</v>
      </c>
      <c r="G2" s="126">
        <f>E2/F2</f>
        <v>23.75959933222037</v>
      </c>
      <c r="H2" s="182">
        <f>(F2-98)*(16.44)+(F2-98)*(73%*8.22)+(98*11.25)</f>
        <v>8984.760750000001</v>
      </c>
      <c r="I2" s="130">
        <f>H2/(B2*2.18765+C2*1.440852)</f>
        <v>0.2890020556178657</v>
      </c>
      <c r="J2" s="254" t="s">
        <v>20</v>
      </c>
    </row>
    <row r="3" spans="1:10" ht="15.75" thickBot="1">
      <c r="A3" s="101" t="s">
        <v>105</v>
      </c>
      <c r="B3" s="164">
        <v>8169</v>
      </c>
      <c r="C3" s="164">
        <v>7369</v>
      </c>
      <c r="D3" s="159">
        <f aca="true" t="shared" si="0" ref="D3:D47">C3/4</f>
        <v>1842.25</v>
      </c>
      <c r="E3" s="181">
        <f>SUM(B3+D3)</f>
        <v>10011.25</v>
      </c>
      <c r="F3" s="195">
        <v>410.75</v>
      </c>
      <c r="G3" s="123">
        <f>E3/F3</f>
        <v>24.373097991479003</v>
      </c>
      <c r="H3" s="182">
        <f>(F3-151)*(16.44)+(F3-151)*(73%*8.22)+(151*11.25)+433.13</f>
        <v>7960.82585</v>
      </c>
      <c r="I3" s="130">
        <f aca="true" t="shared" si="1" ref="I3:I47">H3/(B3*2.18765+C3*1.440852)</f>
        <v>0.27943947670393643</v>
      </c>
      <c r="J3" s="254" t="s">
        <v>20</v>
      </c>
    </row>
    <row r="4" spans="1:10" ht="15.75" thickBot="1">
      <c r="A4" s="102" t="s">
        <v>106</v>
      </c>
      <c r="B4" s="164">
        <v>7193</v>
      </c>
      <c r="C4" s="164">
        <v>7835</v>
      </c>
      <c r="D4" s="159">
        <f t="shared" si="0"/>
        <v>1958.75</v>
      </c>
      <c r="E4" s="181">
        <f>SUM(B4+D4)</f>
        <v>9151.75</v>
      </c>
      <c r="F4" s="196">
        <v>452.25</v>
      </c>
      <c r="G4" s="123">
        <f aca="true" t="shared" si="2" ref="G4:G47">E4/F4</f>
        <v>20.236042012161416</v>
      </c>
      <c r="H4" s="182">
        <f>(F4-20)*(16.44)+(F4-20)*(73%*8.22)+(20*11.25)</f>
        <v>9924.94935</v>
      </c>
      <c r="I4" s="130">
        <f t="shared" si="1"/>
        <v>0.36725281863786163</v>
      </c>
      <c r="J4" s="254" t="s">
        <v>22</v>
      </c>
    </row>
    <row r="5" spans="1:10" ht="15.75" thickBot="1">
      <c r="A5" s="102" t="s">
        <v>107</v>
      </c>
      <c r="B5" s="164">
        <v>6194</v>
      </c>
      <c r="C5" s="164">
        <v>2251</v>
      </c>
      <c r="D5" s="159">
        <f t="shared" si="0"/>
        <v>562.75</v>
      </c>
      <c r="E5" s="181">
        <f>SUM(B5+D5)</f>
        <v>6756.75</v>
      </c>
      <c r="F5" s="195">
        <v>606</v>
      </c>
      <c r="G5" s="123">
        <f t="shared" si="2"/>
        <v>11.149752475247524</v>
      </c>
      <c r="H5" s="182">
        <f>(F5-23)*(16.44)+(F5-23)*(73%*8.22)+(23*11.25)</f>
        <v>13341.6198</v>
      </c>
      <c r="I5" s="130">
        <f t="shared" si="1"/>
        <v>0.7944437513469843</v>
      </c>
      <c r="J5" s="254" t="s">
        <v>23</v>
      </c>
    </row>
    <row r="6" spans="1:10" ht="15.75" thickBot="1">
      <c r="A6" s="102" t="s">
        <v>108</v>
      </c>
      <c r="B6" s="164">
        <v>9037</v>
      </c>
      <c r="C6" s="164">
        <v>6970</v>
      </c>
      <c r="D6" s="159">
        <f t="shared" si="0"/>
        <v>1742.5</v>
      </c>
      <c r="E6" s="181">
        <f>SUM(B6+D6)</f>
        <v>10779.5</v>
      </c>
      <c r="F6" s="195">
        <v>399.5</v>
      </c>
      <c r="G6" s="123">
        <f t="shared" si="2"/>
        <v>26.982478097622028</v>
      </c>
      <c r="H6" s="182">
        <f>(F6-0)*(16.44)+(F6-0)*(73%*8.22)+(0*11.25)+488.81</f>
        <v>9453.8297</v>
      </c>
      <c r="I6" s="130">
        <f t="shared" si="1"/>
        <v>0.3171092566617864</v>
      </c>
      <c r="J6" s="254" t="s">
        <v>20</v>
      </c>
    </row>
    <row r="7" spans="1:10" ht="15.75" thickBot="1">
      <c r="A7" s="101" t="s">
        <v>109</v>
      </c>
      <c r="B7" s="164">
        <v>7691</v>
      </c>
      <c r="C7" s="164">
        <v>7051</v>
      </c>
      <c r="D7" s="159">
        <f t="shared" si="0"/>
        <v>1762.75</v>
      </c>
      <c r="E7" s="181">
        <f aca="true" t="shared" si="3" ref="E7:E14">SUM(B7+D7)</f>
        <v>9453.75</v>
      </c>
      <c r="F7" s="195">
        <v>577</v>
      </c>
      <c r="G7" s="123">
        <f t="shared" si="2"/>
        <v>16.38431542461005</v>
      </c>
      <c r="H7" s="182">
        <f>(F7-168.5)*(16.44)+(F7-168.5)*(73%*8.22)+(168.5*11.25)+346.5</f>
        <v>11409.110100000002</v>
      </c>
      <c r="I7" s="130">
        <f t="shared" si="1"/>
        <v>0.4227997898463482</v>
      </c>
      <c r="J7" s="254" t="s">
        <v>22</v>
      </c>
    </row>
    <row r="8" spans="1:21" ht="15.75" thickBot="1">
      <c r="A8" s="102" t="s">
        <v>68</v>
      </c>
      <c r="B8" s="164">
        <v>8193</v>
      </c>
      <c r="C8" s="164">
        <v>7010</v>
      </c>
      <c r="D8" s="159">
        <f t="shared" si="0"/>
        <v>1752.5</v>
      </c>
      <c r="E8" s="181">
        <f t="shared" si="3"/>
        <v>9945.5</v>
      </c>
      <c r="F8" s="195">
        <v>459.5</v>
      </c>
      <c r="G8" s="123">
        <f t="shared" si="2"/>
        <v>21.64417845484222</v>
      </c>
      <c r="H8" s="182">
        <f>(F8-6.25)*(16.44)+(F8-6.25)*(73%*8.22)+(6.25*11.25)+259.88</f>
        <v>10501.39445</v>
      </c>
      <c r="I8" s="130">
        <f t="shared" si="1"/>
        <v>0.3747314276895941</v>
      </c>
      <c r="J8" s="254" t="s">
        <v>22</v>
      </c>
      <c r="U8" s="125"/>
    </row>
    <row r="9" spans="1:10" ht="15.75" thickBot="1">
      <c r="A9" s="101" t="s">
        <v>110</v>
      </c>
      <c r="B9" s="164">
        <v>3820</v>
      </c>
      <c r="C9" s="164">
        <v>3587</v>
      </c>
      <c r="D9" s="159">
        <f t="shared" si="0"/>
        <v>896.75</v>
      </c>
      <c r="E9" s="181">
        <f t="shared" si="3"/>
        <v>4716.75</v>
      </c>
      <c r="F9" s="195">
        <v>180</v>
      </c>
      <c r="G9" s="123">
        <f t="shared" si="2"/>
        <v>26.204166666666666</v>
      </c>
      <c r="H9" s="182">
        <f>(F9-11)*(16.44)+(F9-11)*(73%*8.22)+(11*11.25)</f>
        <v>3916.2114</v>
      </c>
      <c r="I9" s="130">
        <f t="shared" si="1"/>
        <v>0.2895501164973946</v>
      </c>
      <c r="J9" s="254" t="s">
        <v>24</v>
      </c>
    </row>
    <row r="10" spans="1:10" ht="15.75" thickBot="1">
      <c r="A10" s="102" t="s">
        <v>111</v>
      </c>
      <c r="B10" s="164">
        <v>7121</v>
      </c>
      <c r="C10" s="164">
        <v>6214</v>
      </c>
      <c r="D10" s="159">
        <f t="shared" si="0"/>
        <v>1553.5</v>
      </c>
      <c r="E10" s="181">
        <f t="shared" si="3"/>
        <v>8674.5</v>
      </c>
      <c r="F10" s="195">
        <v>541</v>
      </c>
      <c r="G10" s="123">
        <f t="shared" si="2"/>
        <v>16.034195933456562</v>
      </c>
      <c r="H10" s="182">
        <f>(F10-132)*(16.44)+(F10-132)*(73%*8.22)+(132*11.25)+113.44</f>
        <v>10776.645400000001</v>
      </c>
      <c r="I10" s="130">
        <f t="shared" si="1"/>
        <v>0.4392945053428595</v>
      </c>
      <c r="J10" s="254" t="s">
        <v>22</v>
      </c>
    </row>
    <row r="11" spans="1:10" ht="15.75" thickBot="1">
      <c r="A11" s="101" t="s">
        <v>67</v>
      </c>
      <c r="B11" s="164">
        <v>10083</v>
      </c>
      <c r="C11" s="164">
        <v>4797</v>
      </c>
      <c r="D11" s="159">
        <f t="shared" si="0"/>
        <v>1199.25</v>
      </c>
      <c r="E11" s="181">
        <f t="shared" si="3"/>
        <v>11282.25</v>
      </c>
      <c r="F11" s="195">
        <v>466.5</v>
      </c>
      <c r="G11" s="123">
        <f t="shared" si="2"/>
        <v>24.184887459807072</v>
      </c>
      <c r="H11" s="182">
        <f>(F11-154)*(16.44)+(F11-154)*(73%*8.22)+(154*11.25)+346</f>
        <v>9091.1875</v>
      </c>
      <c r="I11" s="130">
        <f t="shared" si="1"/>
        <v>0.31381557075398936</v>
      </c>
      <c r="J11" s="254" t="s">
        <v>25</v>
      </c>
    </row>
    <row r="12" spans="1:10" ht="15.75" thickBot="1">
      <c r="A12" s="101" t="s">
        <v>63</v>
      </c>
      <c r="B12" s="164">
        <v>6606</v>
      </c>
      <c r="C12" s="164">
        <v>8982</v>
      </c>
      <c r="D12" s="159">
        <f t="shared" si="0"/>
        <v>2245.5</v>
      </c>
      <c r="E12" s="181">
        <f t="shared" si="3"/>
        <v>8851.5</v>
      </c>
      <c r="F12" s="195">
        <v>564</v>
      </c>
      <c r="G12" s="123">
        <f t="shared" si="2"/>
        <v>15.694148936170214</v>
      </c>
      <c r="H12" s="182">
        <f>(F12-77)*(16.44)+(F12-77)*(73%*8.22)+(77*11.25)+346.5</f>
        <v>12141.3222</v>
      </c>
      <c r="I12" s="130">
        <f t="shared" si="1"/>
        <v>0.44322154232564237</v>
      </c>
      <c r="J12" s="254" t="s">
        <v>22</v>
      </c>
    </row>
    <row r="13" spans="1:10" ht="15.75" thickBot="1">
      <c r="A13" s="102" t="s">
        <v>136</v>
      </c>
      <c r="B13" s="164">
        <v>6888</v>
      </c>
      <c r="C13" s="164">
        <v>2320</v>
      </c>
      <c r="D13" s="159">
        <f>C13/2</f>
        <v>1160</v>
      </c>
      <c r="E13" s="181">
        <f t="shared" si="3"/>
        <v>8048</v>
      </c>
      <c r="F13" s="195">
        <v>646.5</v>
      </c>
      <c r="G13" s="123">
        <f t="shared" si="2"/>
        <v>12.448569218870842</v>
      </c>
      <c r="H13" s="182">
        <f>(F13-101)*(16.44)+(F13-101)*(73%*8.22)+(101*11.25)</f>
        <v>13377.597300000001</v>
      </c>
      <c r="I13" s="130">
        <f t="shared" si="1"/>
        <v>0.7265967177922416</v>
      </c>
      <c r="J13" s="254" t="s">
        <v>26</v>
      </c>
    </row>
    <row r="14" spans="1:10" ht="15">
      <c r="A14" s="101" t="s">
        <v>113</v>
      </c>
      <c r="B14" s="164">
        <v>6869</v>
      </c>
      <c r="C14" s="164">
        <v>4044</v>
      </c>
      <c r="D14" s="159">
        <f t="shared" si="0"/>
        <v>1011</v>
      </c>
      <c r="E14" s="181">
        <f t="shared" si="3"/>
        <v>7880</v>
      </c>
      <c r="F14" s="195">
        <v>426.75</v>
      </c>
      <c r="G14" s="123">
        <f t="shared" si="2"/>
        <v>18.465143526654952</v>
      </c>
      <c r="H14" s="182">
        <f>(F14-164.25)*(16.44)+(F14-164.25)*(73%*8.22)+(164.25*11.25)</f>
        <v>7738.47</v>
      </c>
      <c r="I14" s="130">
        <f t="shared" si="1"/>
        <v>0.3710824834706948</v>
      </c>
      <c r="J14" s="254" t="s">
        <v>22</v>
      </c>
    </row>
    <row r="15" spans="1:10" ht="15.75" thickBot="1">
      <c r="A15" s="102" t="s">
        <v>114</v>
      </c>
      <c r="B15" s="164"/>
      <c r="C15" s="164"/>
      <c r="D15" s="159">
        <f t="shared" si="0"/>
        <v>0</v>
      </c>
      <c r="E15" s="181">
        <v>0</v>
      </c>
      <c r="F15" s="195">
        <v>0</v>
      </c>
      <c r="G15" s="123">
        <v>0</v>
      </c>
      <c r="H15" s="185">
        <v>0</v>
      </c>
      <c r="I15" s="130"/>
      <c r="J15" s="254"/>
    </row>
    <row r="16" spans="1:10" ht="18" customHeight="1" thickBot="1">
      <c r="A16" s="101" t="s">
        <v>115</v>
      </c>
      <c r="B16" s="164">
        <v>6495</v>
      </c>
      <c r="C16" s="164">
        <v>5137</v>
      </c>
      <c r="D16" s="159">
        <f t="shared" si="0"/>
        <v>1284.25</v>
      </c>
      <c r="E16" s="181">
        <f aca="true" t="shared" si="4" ref="E16:E32">SUM(B16+D16)</f>
        <v>7779.25</v>
      </c>
      <c r="F16" s="195">
        <v>510.5</v>
      </c>
      <c r="G16" s="123">
        <f t="shared" si="2"/>
        <v>15.2384916748286</v>
      </c>
      <c r="H16" s="182">
        <f>(F16-43.5)*(16.44)+(F16-43.5)*(73%*8.22)+(43.5*11.25)+519.75</f>
        <v>11488.8852</v>
      </c>
      <c r="I16" s="130">
        <f t="shared" si="1"/>
        <v>0.531635790529821</v>
      </c>
      <c r="J16" s="254" t="s">
        <v>22</v>
      </c>
    </row>
    <row r="17" spans="1:10" ht="15.75" thickBot="1">
      <c r="A17" s="101" t="s">
        <v>116</v>
      </c>
      <c r="B17" s="164">
        <v>4880</v>
      </c>
      <c r="C17" s="164">
        <v>3916</v>
      </c>
      <c r="D17" s="159">
        <f t="shared" si="0"/>
        <v>979</v>
      </c>
      <c r="E17" s="181">
        <f t="shared" si="4"/>
        <v>5859</v>
      </c>
      <c r="F17" s="195">
        <v>342.25</v>
      </c>
      <c r="G17" s="123">
        <f t="shared" si="2"/>
        <v>17.119065010956902</v>
      </c>
      <c r="H17" s="182">
        <f>(F17-0)*(16.44)+(F17-0)*(73%*8.22)+(0*11.25)+346.5</f>
        <v>8026.79535</v>
      </c>
      <c r="I17" s="130">
        <f t="shared" si="1"/>
        <v>0.49189496340515554</v>
      </c>
      <c r="J17" s="254" t="s">
        <v>22</v>
      </c>
    </row>
    <row r="18" spans="1:10" ht="15.75" thickBot="1">
      <c r="A18" s="101" t="s">
        <v>125</v>
      </c>
      <c r="B18" s="164">
        <v>13229</v>
      </c>
      <c r="C18" s="164">
        <v>11588</v>
      </c>
      <c r="D18" s="159">
        <f>C18/2</f>
        <v>5794</v>
      </c>
      <c r="E18" s="181">
        <f t="shared" si="4"/>
        <v>19023</v>
      </c>
      <c r="F18" s="195">
        <v>796</v>
      </c>
      <c r="G18" s="123">
        <f t="shared" si="2"/>
        <v>23.89824120603015</v>
      </c>
      <c r="H18" s="182">
        <f>(F18-95.5)*(16.44)+(F18-95.5)*(73%*8.22)+(95.5*11.25)+433.13</f>
        <v>17227.145300000004</v>
      </c>
      <c r="I18" s="130">
        <f t="shared" si="1"/>
        <v>0.3774818612847893</v>
      </c>
      <c r="J18" s="254" t="s">
        <v>27</v>
      </c>
    </row>
    <row r="19" spans="1:10" ht="15.75" thickBot="1">
      <c r="A19" s="101" t="s">
        <v>73</v>
      </c>
      <c r="B19" s="164">
        <v>4702</v>
      </c>
      <c r="C19" s="164">
        <v>4324</v>
      </c>
      <c r="D19" s="159">
        <f t="shared" si="0"/>
        <v>1081</v>
      </c>
      <c r="E19" s="181">
        <f t="shared" si="4"/>
        <v>5783</v>
      </c>
      <c r="F19" s="195">
        <v>289</v>
      </c>
      <c r="G19" s="123">
        <f t="shared" si="2"/>
        <v>20.01038062283737</v>
      </c>
      <c r="H19" s="182">
        <f>(F19-6.5)*(16.44)+(F19-6.5)*(73%*8.22)+(6.5*11.25)</f>
        <v>6412.5945</v>
      </c>
      <c r="I19" s="130">
        <f t="shared" si="1"/>
        <v>0.38825208937932726</v>
      </c>
      <c r="J19" s="254" t="s">
        <v>22</v>
      </c>
    </row>
    <row r="20" spans="1:10" ht="15.75" thickBot="1">
      <c r="A20" s="102" t="s">
        <v>132</v>
      </c>
      <c r="B20" s="164">
        <v>1707</v>
      </c>
      <c r="C20" s="164">
        <v>844</v>
      </c>
      <c r="D20" s="159">
        <f>C20/2</f>
        <v>422</v>
      </c>
      <c r="E20" s="181">
        <f t="shared" si="4"/>
        <v>2129</v>
      </c>
      <c r="F20" s="195">
        <v>296.5</v>
      </c>
      <c r="G20" s="123">
        <f t="shared" si="2"/>
        <v>7.18043844856661</v>
      </c>
      <c r="H20" s="182">
        <f>(F20-64.75)*(16.44)+(F20-64.75)*(73%*8.22)+(64.75*11.25)</f>
        <v>5929.04655</v>
      </c>
      <c r="I20" s="130">
        <f t="shared" si="1"/>
        <v>1.1976909702137344</v>
      </c>
      <c r="J20" s="254" t="s">
        <v>28</v>
      </c>
    </row>
    <row r="21" spans="1:10" ht="15.75" thickBot="1">
      <c r="A21" s="102" t="s">
        <v>118</v>
      </c>
      <c r="B21" s="164">
        <v>8570</v>
      </c>
      <c r="C21" s="164">
        <v>7287</v>
      </c>
      <c r="D21" s="159">
        <f t="shared" si="0"/>
        <v>1821.75</v>
      </c>
      <c r="E21" s="181">
        <f t="shared" si="4"/>
        <v>10391.75</v>
      </c>
      <c r="F21" s="195">
        <v>467.25</v>
      </c>
      <c r="G21" s="123">
        <f t="shared" si="2"/>
        <v>22.240235420010702</v>
      </c>
      <c r="H21" s="182">
        <f>(F21-135.5)*(16.44)+(F21-135.5)*(73%*8.22)+(135.5*11.25)+274.31</f>
        <v>9243.35405</v>
      </c>
      <c r="I21" s="130">
        <f t="shared" si="1"/>
        <v>0.31603750586637236</v>
      </c>
      <c r="J21" s="254" t="s">
        <v>20</v>
      </c>
    </row>
    <row r="22" spans="1:10" ht="15.75" thickBot="1">
      <c r="A22" s="102" t="s">
        <v>133</v>
      </c>
      <c r="B22" s="164">
        <v>5363</v>
      </c>
      <c r="C22" s="164">
        <v>1542</v>
      </c>
      <c r="D22" s="159">
        <f>C22/2</f>
        <v>771</v>
      </c>
      <c r="E22" s="181">
        <f t="shared" si="4"/>
        <v>6134</v>
      </c>
      <c r="F22" s="195">
        <v>739.75</v>
      </c>
      <c r="G22" s="123">
        <f t="shared" si="2"/>
        <v>8.291990537343697</v>
      </c>
      <c r="H22" s="182">
        <f>(F22-23)*(16.44)+(F22-23)*(73%*8.22)+(23*11.25)</f>
        <v>16343.050050000002</v>
      </c>
      <c r="I22" s="130">
        <f t="shared" si="1"/>
        <v>1.1711954850985309</v>
      </c>
      <c r="J22" s="254" t="s">
        <v>29</v>
      </c>
    </row>
    <row r="23" spans="1:10" ht="15.75" thickBot="1">
      <c r="A23" s="102" t="s">
        <v>134</v>
      </c>
      <c r="B23" s="164">
        <v>2116</v>
      </c>
      <c r="C23" s="164">
        <v>1394</v>
      </c>
      <c r="D23" s="159">
        <f t="shared" si="0"/>
        <v>348.5</v>
      </c>
      <c r="E23" s="181">
        <f t="shared" si="4"/>
        <v>2464.5</v>
      </c>
      <c r="F23" s="195">
        <v>337</v>
      </c>
      <c r="G23" s="123">
        <f t="shared" si="2"/>
        <v>7.313056379821958</v>
      </c>
      <c r="H23" s="182">
        <f>(F23-2)*(16.44)+(F23-2)*(73%*8.22)+(2*11.25)</f>
        <v>7540.101000000001</v>
      </c>
      <c r="I23" s="130">
        <f t="shared" si="1"/>
        <v>1.135965388175579</v>
      </c>
      <c r="J23" s="254" t="s">
        <v>28</v>
      </c>
    </row>
    <row r="24" spans="1:10" ht="15.75" thickBot="1">
      <c r="A24" s="102" t="s">
        <v>126</v>
      </c>
      <c r="B24" s="164">
        <v>10050</v>
      </c>
      <c r="C24" s="164">
        <v>4112</v>
      </c>
      <c r="D24" s="159">
        <f>C24/2</f>
        <v>2056</v>
      </c>
      <c r="E24" s="181">
        <f t="shared" si="4"/>
        <v>12106</v>
      </c>
      <c r="F24" s="195">
        <v>924.5</v>
      </c>
      <c r="G24" s="123">
        <f t="shared" si="2"/>
        <v>13.09464575446187</v>
      </c>
      <c r="H24" s="182">
        <f>(F24-37)*(16.44)+(F24-37)*(73%*8.22)+(37*11.25)</f>
        <v>20332.2825</v>
      </c>
      <c r="I24" s="130">
        <f t="shared" si="1"/>
        <v>0.7284771547681543</v>
      </c>
      <c r="J24" s="254" t="s">
        <v>30</v>
      </c>
    </row>
    <row r="25" spans="1:10" ht="15.75" thickBot="1">
      <c r="A25" s="102" t="s">
        <v>119</v>
      </c>
      <c r="B25" s="164">
        <v>8368</v>
      </c>
      <c r="C25" s="164">
        <v>7809</v>
      </c>
      <c r="D25" s="159">
        <f t="shared" si="0"/>
        <v>1952.25</v>
      </c>
      <c r="E25" s="181">
        <f t="shared" si="4"/>
        <v>10320.25</v>
      </c>
      <c r="F25" s="195">
        <v>419.25</v>
      </c>
      <c r="G25" s="123">
        <f t="shared" si="2"/>
        <v>24.615980918306498</v>
      </c>
      <c r="H25" s="182">
        <f>(F25-85.25)*(16.44)+(F25-85.25)*(73%*8.22)+(85.25*11.25)</f>
        <v>8454.2229</v>
      </c>
      <c r="I25" s="130">
        <f t="shared" si="1"/>
        <v>0.28602275259302706</v>
      </c>
      <c r="J25" s="254" t="s">
        <v>21</v>
      </c>
    </row>
    <row r="26" spans="1:10" ht="15.75" thickBot="1">
      <c r="A26" s="102" t="s">
        <v>120</v>
      </c>
      <c r="B26" s="164">
        <v>8333</v>
      </c>
      <c r="C26" s="164">
        <v>4878</v>
      </c>
      <c r="D26" s="159">
        <f t="shared" si="0"/>
        <v>1219.5</v>
      </c>
      <c r="E26" s="181">
        <f t="shared" si="4"/>
        <v>9552.5</v>
      </c>
      <c r="F26" s="195">
        <v>417.25</v>
      </c>
      <c r="G26" s="123">
        <f t="shared" si="2"/>
        <v>22.893948472139005</v>
      </c>
      <c r="H26" s="182">
        <f>(F26-15.75)*(16.44)+(F26-15.75)*(73%*8.22)+(15.75*11.25)+451.69</f>
        <v>9638.778400000001</v>
      </c>
      <c r="I26" s="130">
        <f t="shared" si="1"/>
        <v>0.3816104206353062</v>
      </c>
      <c r="J26" s="254" t="s">
        <v>20</v>
      </c>
    </row>
    <row r="27" spans="1:10" ht="15.75" thickBot="1">
      <c r="A27" s="105" t="s">
        <v>81</v>
      </c>
      <c r="B27" s="164">
        <v>2800</v>
      </c>
      <c r="C27" s="164">
        <v>3037</v>
      </c>
      <c r="D27" s="159">
        <f t="shared" si="0"/>
        <v>759.25</v>
      </c>
      <c r="E27" s="181">
        <f t="shared" si="4"/>
        <v>3559.25</v>
      </c>
      <c r="F27" s="195">
        <v>268</v>
      </c>
      <c r="G27" s="123">
        <f t="shared" si="2"/>
        <v>13.280783582089553</v>
      </c>
      <c r="H27" s="182">
        <f>(F27-6)*(16.44)+(F27-6)*(73%*8.22)+(6*11.25)+49.5</f>
        <v>5996.4372</v>
      </c>
      <c r="I27" s="130">
        <f t="shared" si="1"/>
        <v>0.5710192380025344</v>
      </c>
      <c r="J27" s="254" t="s">
        <v>31</v>
      </c>
    </row>
    <row r="28" spans="1:10" ht="15.75" thickBot="1">
      <c r="A28" s="102" t="s">
        <v>127</v>
      </c>
      <c r="B28" s="164">
        <v>9338</v>
      </c>
      <c r="C28" s="164">
        <v>9574</v>
      </c>
      <c r="D28" s="159">
        <f>C28/2</f>
        <v>4787</v>
      </c>
      <c r="E28" s="181">
        <f t="shared" si="4"/>
        <v>14125</v>
      </c>
      <c r="F28" s="195">
        <v>649</v>
      </c>
      <c r="G28" s="123">
        <f t="shared" si="2"/>
        <v>21.764252696456087</v>
      </c>
      <c r="H28" s="182">
        <f>(F28-35.25)*(16.44)+(F28-35.25)*(73%*8.22)+(35.25*11.25)</f>
        <v>14169.480750000002</v>
      </c>
      <c r="I28" s="130">
        <f t="shared" si="1"/>
        <v>0.41403394654396697</v>
      </c>
      <c r="J28" s="254" t="s">
        <v>32</v>
      </c>
    </row>
    <row r="29" spans="1:10" ht="15.75" thickBot="1">
      <c r="A29" s="102" t="s">
        <v>69</v>
      </c>
      <c r="B29" s="164">
        <v>6364</v>
      </c>
      <c r="C29" s="164">
        <v>5746</v>
      </c>
      <c r="D29" s="159">
        <f t="shared" si="0"/>
        <v>1436.5</v>
      </c>
      <c r="E29" s="181">
        <f t="shared" si="4"/>
        <v>7800.5</v>
      </c>
      <c r="F29" s="195">
        <v>378.75</v>
      </c>
      <c r="G29" s="123">
        <f t="shared" si="2"/>
        <v>20.595379537953797</v>
      </c>
      <c r="H29" s="182">
        <f>(F29-80.5)*(16.44)+(F29-80.5)*(73%*8.22)+(80.5*11.25)+346.5</f>
        <v>7945.033950000001</v>
      </c>
      <c r="I29" s="130">
        <f t="shared" si="1"/>
        <v>0.35786280833906153</v>
      </c>
      <c r="J29" s="254" t="s">
        <v>22</v>
      </c>
    </row>
    <row r="30" spans="1:10" ht="15.75" thickBot="1">
      <c r="A30" s="102" t="s">
        <v>135</v>
      </c>
      <c r="B30" s="164">
        <v>2221</v>
      </c>
      <c r="C30" s="164">
        <v>1265</v>
      </c>
      <c r="D30" s="159">
        <f>C30/2</f>
        <v>632.5</v>
      </c>
      <c r="E30" s="181">
        <f t="shared" si="4"/>
        <v>2853.5</v>
      </c>
      <c r="F30" s="195">
        <v>582.75</v>
      </c>
      <c r="G30" s="123">
        <f t="shared" si="2"/>
        <v>4.8966108966108965</v>
      </c>
      <c r="H30" s="182">
        <f>(F30-48.75)*(16.44)+(F30-48.75)*(73%*8.22)+(48.75*11.25)</f>
        <v>12531.717900000001</v>
      </c>
      <c r="I30" s="130">
        <f t="shared" si="1"/>
        <v>1.8755989859522122</v>
      </c>
      <c r="J30" s="254" t="s">
        <v>28</v>
      </c>
    </row>
    <row r="31" spans="1:10" ht="15.75" thickBot="1">
      <c r="A31" s="102" t="s">
        <v>70</v>
      </c>
      <c r="B31" s="164">
        <v>3708</v>
      </c>
      <c r="C31" s="164">
        <v>3062</v>
      </c>
      <c r="D31" s="159">
        <f t="shared" si="0"/>
        <v>765.5</v>
      </c>
      <c r="E31" s="181">
        <f t="shared" si="4"/>
        <v>4473.5</v>
      </c>
      <c r="F31" s="195">
        <v>186.75</v>
      </c>
      <c r="G31" s="123">
        <f t="shared" si="2"/>
        <v>23.954484605087014</v>
      </c>
      <c r="H31" s="182">
        <f>(F31-62.25)*(16.44)+(F31-62.25)*(73%*8.22)+(62.25*11.25)+363</f>
        <v>3857.1672000000003</v>
      </c>
      <c r="I31" s="130">
        <f t="shared" si="1"/>
        <v>0.3079895504168898</v>
      </c>
      <c r="J31" s="254" t="s">
        <v>24</v>
      </c>
    </row>
    <row r="32" spans="1:10" ht="17.25" customHeight="1">
      <c r="A32" s="102" t="s">
        <v>128</v>
      </c>
      <c r="B32" s="164">
        <v>9473</v>
      </c>
      <c r="C32" s="164">
        <v>6759</v>
      </c>
      <c r="D32" s="159">
        <f>C32/2</f>
        <v>3379.5</v>
      </c>
      <c r="E32" s="159">
        <f t="shared" si="4"/>
        <v>12852.5</v>
      </c>
      <c r="F32" s="195">
        <v>629.5</v>
      </c>
      <c r="G32" s="123">
        <f t="shared" si="2"/>
        <v>20.416997617156472</v>
      </c>
      <c r="H32" s="182">
        <f>(F32-0)*(16.44)+(F32-0)*(73%*8.22)+(0*11.25)+398.81</f>
        <v>14525.167700000002</v>
      </c>
      <c r="I32" s="130">
        <f t="shared" si="1"/>
        <v>0.4768239682981137</v>
      </c>
      <c r="J32" s="254" t="s">
        <v>30</v>
      </c>
    </row>
    <row r="33" spans="1:10" ht="76.5" customHeight="1" thickBot="1">
      <c r="A33" s="144" t="s">
        <v>85</v>
      </c>
      <c r="B33" s="131" t="s">
        <v>87</v>
      </c>
      <c r="C33" s="131" t="s">
        <v>86</v>
      </c>
      <c r="D33" s="117" t="s">
        <v>80</v>
      </c>
      <c r="E33" s="117" t="s">
        <v>54</v>
      </c>
      <c r="F33" s="244" t="s">
        <v>96</v>
      </c>
      <c r="G33" s="145" t="s">
        <v>46</v>
      </c>
      <c r="H33" s="132" t="s">
        <v>48</v>
      </c>
      <c r="I33" s="132"/>
      <c r="J33" s="258" t="s">
        <v>19</v>
      </c>
    </row>
    <row r="34" spans="1:10" ht="15.75" thickBot="1">
      <c r="A34" s="119" t="s">
        <v>129</v>
      </c>
      <c r="B34" s="174">
        <v>2107</v>
      </c>
      <c r="C34" s="187">
        <v>995</v>
      </c>
      <c r="D34" s="173">
        <f>C34/2</f>
        <v>497.5</v>
      </c>
      <c r="E34" s="173">
        <f aca="true" t="shared" si="5" ref="E34:E47">SUM(B34+D34)</f>
        <v>2604.5</v>
      </c>
      <c r="F34" s="193">
        <v>392</v>
      </c>
      <c r="G34" s="126">
        <f t="shared" si="2"/>
        <v>6.644132653061225</v>
      </c>
      <c r="H34" s="182">
        <f>(F34-33.5)*(16.44)+(F34-33.5)*(73%*8.22)+(33.5*11.25)</f>
        <v>8421.830100000001</v>
      </c>
      <c r="I34" s="130">
        <f>H34/(B34*2.18765+C34*1.440852)</f>
        <v>1.3936444582305467</v>
      </c>
      <c r="J34" s="254" t="s">
        <v>28</v>
      </c>
    </row>
    <row r="35" spans="1:10" ht="15.75" thickBot="1">
      <c r="A35" s="102" t="s">
        <v>130</v>
      </c>
      <c r="B35" s="175">
        <v>0</v>
      </c>
      <c r="C35" s="188">
        <v>0</v>
      </c>
      <c r="D35" s="173">
        <f>C35/4</f>
        <v>0</v>
      </c>
      <c r="E35" s="173">
        <f t="shared" si="5"/>
        <v>0</v>
      </c>
      <c r="F35" s="163">
        <v>0</v>
      </c>
      <c r="G35" s="123">
        <v>0</v>
      </c>
      <c r="H35" s="182">
        <v>0</v>
      </c>
      <c r="I35" s="130"/>
      <c r="J35" s="254"/>
    </row>
    <row r="36" spans="1:10" ht="15.75" thickBot="1">
      <c r="A36" s="102" t="s">
        <v>61</v>
      </c>
      <c r="B36" s="175">
        <v>1880</v>
      </c>
      <c r="C36" s="188">
        <v>1427</v>
      </c>
      <c r="D36" s="169">
        <f t="shared" si="0"/>
        <v>356.75</v>
      </c>
      <c r="E36" s="173">
        <f t="shared" si="5"/>
        <v>2236.75</v>
      </c>
      <c r="F36" s="163">
        <v>220.75</v>
      </c>
      <c r="G36" s="123">
        <f t="shared" si="2"/>
        <v>10.132502831257078</v>
      </c>
      <c r="H36" s="182">
        <f>(F36-0)*(16.44)+(F36-0)*(73%*8.22)+(0*11.25)</f>
        <v>4953.76245</v>
      </c>
      <c r="I36" s="130">
        <f t="shared" si="1"/>
        <v>0.8030248948662755</v>
      </c>
      <c r="J36" s="254" t="s">
        <v>33</v>
      </c>
    </row>
    <row r="37" spans="1:10" ht="15.75" thickBot="1">
      <c r="A37" s="105" t="s">
        <v>97</v>
      </c>
      <c r="B37" s="175">
        <v>4868</v>
      </c>
      <c r="C37" s="188">
        <v>2134</v>
      </c>
      <c r="D37" s="169">
        <f t="shared" si="0"/>
        <v>533.5</v>
      </c>
      <c r="E37" s="173">
        <f t="shared" si="5"/>
        <v>5401.5</v>
      </c>
      <c r="F37" s="163">
        <v>212</v>
      </c>
      <c r="G37" s="123">
        <f t="shared" si="2"/>
        <v>25.47877358490566</v>
      </c>
      <c r="H37" s="182">
        <f>(F37-75)*(16.44)+(F37-75)*(73%*8.22)+(75*11.25)+342.38</f>
        <v>4260.492200000001</v>
      </c>
      <c r="I37" s="130">
        <f t="shared" si="1"/>
        <v>0.31043514962775154</v>
      </c>
      <c r="J37" s="254" t="s">
        <v>34</v>
      </c>
    </row>
    <row r="38" spans="1:10" ht="15.75" thickBot="1">
      <c r="A38" s="102" t="s">
        <v>131</v>
      </c>
      <c r="B38" s="175">
        <v>1585</v>
      </c>
      <c r="C38" s="188">
        <v>396</v>
      </c>
      <c r="D38" s="169">
        <f t="shared" si="0"/>
        <v>99</v>
      </c>
      <c r="E38" s="173">
        <f t="shared" si="5"/>
        <v>1684</v>
      </c>
      <c r="F38" s="163">
        <v>250</v>
      </c>
      <c r="G38" s="123">
        <f t="shared" si="2"/>
        <v>6.736</v>
      </c>
      <c r="H38" s="182">
        <f>(F38-28)*(16.44)+(F38-28)*(73%*8.22)+(28*11.25)</f>
        <v>5296.8132000000005</v>
      </c>
      <c r="I38" s="130">
        <f t="shared" si="1"/>
        <v>1.311740895091767</v>
      </c>
      <c r="J38" s="254" t="s">
        <v>35</v>
      </c>
    </row>
    <row r="39" spans="1:10" ht="15.75" thickBot="1">
      <c r="A39" s="102" t="s">
        <v>98</v>
      </c>
      <c r="B39" s="175">
        <v>7949</v>
      </c>
      <c r="C39" s="188">
        <v>8089</v>
      </c>
      <c r="D39" s="169">
        <f t="shared" si="0"/>
        <v>2022.25</v>
      </c>
      <c r="E39" s="173">
        <f t="shared" si="5"/>
        <v>9971.25</v>
      </c>
      <c r="F39" s="163">
        <v>264.75</v>
      </c>
      <c r="G39" s="123">
        <f t="shared" si="2"/>
        <v>37.6628895184136</v>
      </c>
      <c r="H39" s="182">
        <f>(F39-123.75)*(16.44)+(F39-123.75)*(73%*8.22)+(123.75*11.25)+216.56</f>
        <v>4772.8721000000005</v>
      </c>
      <c r="I39" s="130">
        <f t="shared" si="1"/>
        <v>0.16432860765746418</v>
      </c>
      <c r="J39" s="254" t="s">
        <v>20</v>
      </c>
    </row>
    <row r="40" spans="1:10" ht="15.75" thickBot="1">
      <c r="A40" s="101" t="s">
        <v>62</v>
      </c>
      <c r="B40" s="175">
        <v>8352</v>
      </c>
      <c r="C40" s="188">
        <v>8494</v>
      </c>
      <c r="D40" s="169">
        <f>C40/2</f>
        <v>4247</v>
      </c>
      <c r="E40" s="173">
        <f t="shared" si="5"/>
        <v>12599</v>
      </c>
      <c r="F40" s="163">
        <v>606</v>
      </c>
      <c r="G40" s="123">
        <f t="shared" si="2"/>
        <v>20.79042904290429</v>
      </c>
      <c r="H40" s="182">
        <f>(F40-20)*(16.44)+(F40-20)*(73%*8.22)+(20*11.25)</f>
        <v>13375.1916</v>
      </c>
      <c r="I40" s="130">
        <f t="shared" si="1"/>
        <v>0.4383892984323902</v>
      </c>
      <c r="J40" s="254" t="s">
        <v>30</v>
      </c>
    </row>
    <row r="41" spans="1:10" ht="15.75" thickBot="1">
      <c r="A41" s="101" t="s">
        <v>71</v>
      </c>
      <c r="B41" s="175">
        <v>9501</v>
      </c>
      <c r="C41" s="188">
        <v>7737</v>
      </c>
      <c r="D41" s="169">
        <f>C41/2</f>
        <v>3868.5</v>
      </c>
      <c r="E41" s="173">
        <f t="shared" si="5"/>
        <v>13369.5</v>
      </c>
      <c r="F41" s="163">
        <v>451</v>
      </c>
      <c r="G41" s="123">
        <f t="shared" si="2"/>
        <v>29.644124168514413</v>
      </c>
      <c r="H41" s="182">
        <f>(F41-0)*(16.44)+(F41-0)*(73%*8.22)+(0*11.25)*433.13</f>
        <v>10120.7106</v>
      </c>
      <c r="I41" s="130">
        <f t="shared" si="1"/>
        <v>0.31693842494279834</v>
      </c>
      <c r="J41" s="254" t="s">
        <v>32</v>
      </c>
    </row>
    <row r="42" spans="1:10" ht="15.75" thickBot="1">
      <c r="A42" s="101" t="s">
        <v>99</v>
      </c>
      <c r="B42" s="175">
        <v>8409</v>
      </c>
      <c r="C42" s="188">
        <v>7141</v>
      </c>
      <c r="D42" s="169">
        <f t="shared" si="0"/>
        <v>1785.25</v>
      </c>
      <c r="E42" s="173">
        <f t="shared" si="5"/>
        <v>10194.25</v>
      </c>
      <c r="F42" s="163">
        <v>535</v>
      </c>
      <c r="G42" s="123">
        <f t="shared" si="2"/>
        <v>19.054672897196262</v>
      </c>
      <c r="H42" s="182">
        <f>(F42-18)*(16.44)+(F42-18)*(73%*8.22)+(18*11.25)</f>
        <v>11804.290200000001</v>
      </c>
      <c r="I42" s="130">
        <f t="shared" si="1"/>
        <v>0.41151334031491715</v>
      </c>
      <c r="J42" s="254" t="s">
        <v>20</v>
      </c>
    </row>
    <row r="43" spans="1:10" ht="15.75" thickBot="1">
      <c r="A43" s="104" t="s">
        <v>100</v>
      </c>
      <c r="B43" s="175">
        <v>6918</v>
      </c>
      <c r="C43" s="188">
        <v>6072</v>
      </c>
      <c r="D43" s="169">
        <f t="shared" si="0"/>
        <v>1518</v>
      </c>
      <c r="E43" s="173">
        <f t="shared" si="5"/>
        <v>8436</v>
      </c>
      <c r="F43" s="163">
        <v>516.25</v>
      </c>
      <c r="G43" s="123">
        <f t="shared" si="2"/>
        <v>16.3409200968523</v>
      </c>
      <c r="H43" s="182">
        <f>(F43-189.75)*(16.44)+(F43-189.75)*(73%*8.22)+(189.75*11.25)</f>
        <v>9461.5434</v>
      </c>
      <c r="I43" s="130">
        <f t="shared" si="1"/>
        <v>0.39616199991529005</v>
      </c>
      <c r="J43" s="254" t="s">
        <v>22</v>
      </c>
    </row>
    <row r="44" spans="1:10" ht="15.75" thickBot="1">
      <c r="A44" s="102" t="s">
        <v>59</v>
      </c>
      <c r="B44" s="175">
        <v>10865</v>
      </c>
      <c r="C44" s="188">
        <v>5687</v>
      </c>
      <c r="D44" s="169">
        <f>C44/2</f>
        <v>2843.5</v>
      </c>
      <c r="E44" s="173">
        <f t="shared" si="5"/>
        <v>13708.5</v>
      </c>
      <c r="F44" s="163">
        <v>1151.5</v>
      </c>
      <c r="G44" s="123">
        <f t="shared" si="2"/>
        <v>11.904906643508467</v>
      </c>
      <c r="H44" s="182">
        <f>(F44-165.25)*(16.44)+(F44-164.25)*(73%*8.22)+(164.25*11.25)</f>
        <v>23985.854850000003</v>
      </c>
      <c r="I44" s="130">
        <f t="shared" si="1"/>
        <v>0.7504269919600927</v>
      </c>
      <c r="J44" s="254" t="s">
        <v>36</v>
      </c>
    </row>
    <row r="45" spans="1:10" ht="15.75" thickBot="1">
      <c r="A45" s="101" t="s">
        <v>102</v>
      </c>
      <c r="B45" s="175">
        <v>10376</v>
      </c>
      <c r="C45" s="188">
        <v>7694</v>
      </c>
      <c r="D45" s="169">
        <f t="shared" si="0"/>
        <v>1923.5</v>
      </c>
      <c r="E45" s="173">
        <f t="shared" si="5"/>
        <v>12299.5</v>
      </c>
      <c r="F45" s="163">
        <v>629.5</v>
      </c>
      <c r="G45" s="123">
        <f t="shared" si="2"/>
        <v>19.538522637013504</v>
      </c>
      <c r="H45" s="182">
        <f>(F45-17.5)*(16.44)+(F45-17.5)*(73%*8.22)+(17.5*11.25)+431.06</f>
        <v>14361.5822</v>
      </c>
      <c r="I45" s="130">
        <f t="shared" si="1"/>
        <v>0.42508788619470866</v>
      </c>
      <c r="J45" s="254" t="s">
        <v>25</v>
      </c>
    </row>
    <row r="46" spans="1:10" ht="15.75" thickBot="1">
      <c r="A46" s="101" t="s">
        <v>72</v>
      </c>
      <c r="B46" s="175">
        <v>3317</v>
      </c>
      <c r="C46" s="188">
        <v>1060</v>
      </c>
      <c r="D46" s="169">
        <v>1311</v>
      </c>
      <c r="E46" s="173">
        <f t="shared" si="5"/>
        <v>4628</v>
      </c>
      <c r="F46" s="163">
        <v>357</v>
      </c>
      <c r="G46" s="123">
        <f t="shared" si="2"/>
        <v>12.96358543417367</v>
      </c>
      <c r="H46" s="182">
        <f>(F46-78)*(16.44)+(F46-78)*(73%*8.22)+(78*11.25)</f>
        <v>7138.4274000000005</v>
      </c>
      <c r="I46" s="130">
        <f t="shared" si="1"/>
        <v>0.8126867242446504</v>
      </c>
      <c r="J46" s="254" t="s">
        <v>37</v>
      </c>
    </row>
    <row r="47" spans="1:10" ht="15.75" thickBot="1">
      <c r="A47" s="101" t="s">
        <v>58</v>
      </c>
      <c r="B47" s="175">
        <v>4260</v>
      </c>
      <c r="C47" s="188">
        <v>4763</v>
      </c>
      <c r="D47" s="169">
        <f t="shared" si="0"/>
        <v>1190.75</v>
      </c>
      <c r="E47" s="173">
        <f t="shared" si="5"/>
        <v>5450.75</v>
      </c>
      <c r="F47" s="163">
        <v>201.5</v>
      </c>
      <c r="G47" s="123">
        <f t="shared" si="2"/>
        <v>27.050868486352357</v>
      </c>
      <c r="H47" s="182">
        <f>(F47-90.25)*(16.44)+(F47-90.25)*(73%*8.22)+(90.25*11.25)</f>
        <v>3511.8292500000002</v>
      </c>
      <c r="I47" s="130">
        <f t="shared" si="1"/>
        <v>0.21701847679032082</v>
      </c>
      <c r="J47" s="254" t="s">
        <v>34</v>
      </c>
    </row>
    <row r="48" spans="1:10" ht="15.75" thickBot="1">
      <c r="A48" s="125"/>
      <c r="B48" s="190">
        <f>SUM(B2:B47)</f>
        <v>284478</v>
      </c>
      <c r="C48" s="190">
        <f>SUM(C2:C47)</f>
        <v>221049</v>
      </c>
      <c r="D48" s="190">
        <f>SUM(D2:D47)</f>
        <v>71537.5</v>
      </c>
      <c r="E48" s="189">
        <f>SUM(E2:E47)</f>
        <v>356015.5</v>
      </c>
      <c r="F48" s="241">
        <f>SUM(F2:F47)</f>
        <v>20200.25</v>
      </c>
      <c r="G48" s="123"/>
      <c r="H48" s="251">
        <f>SUM(H2:H47)</f>
        <v>429744.38385</v>
      </c>
      <c r="I48" s="210">
        <f>H48/D50</f>
        <v>0.4567680659449355</v>
      </c>
      <c r="J48" s="255"/>
    </row>
    <row r="49" spans="1:10" ht="17.25" customHeight="1">
      <c r="A49" s="202" t="s">
        <v>82</v>
      </c>
      <c r="B49" s="190"/>
      <c r="C49" s="190"/>
      <c r="D49" s="190"/>
      <c r="E49" s="189"/>
      <c r="F49" s="192"/>
      <c r="G49" s="201"/>
      <c r="H49" s="253">
        <v>60090.01</v>
      </c>
      <c r="I49" s="130" t="e">
        <f>H49/(B49*2.085+C49*1.425)</f>
        <v>#DIV/0!</v>
      </c>
      <c r="J49" s="256"/>
    </row>
    <row r="50" spans="1:10" ht="15.75" thickBot="1">
      <c r="A50" s="84" t="s">
        <v>49</v>
      </c>
      <c r="B50" s="219">
        <f>B48*2.18765</f>
        <v>622338.2967000001</v>
      </c>
      <c r="C50" s="219">
        <f>C48*1.440852</f>
        <v>318498.89374800003</v>
      </c>
      <c r="D50" s="219">
        <f>SUM(B50:C50)</f>
        <v>940837.1904480001</v>
      </c>
      <c r="E50" s="259"/>
      <c r="F50" s="114"/>
      <c r="G50" s="115"/>
      <c r="H50" s="252">
        <f>SUM(H48:H49)</f>
        <v>489834.39385</v>
      </c>
      <c r="I50" s="211">
        <f>H50/D50</f>
        <v>0.5206367252731099</v>
      </c>
      <c r="J50" s="257"/>
    </row>
    <row r="51" ht="15">
      <c r="F51" s="243">
        <f>F48+F52</f>
        <v>23147.75</v>
      </c>
    </row>
    <row r="52" spans="1:10" ht="15.75" thickBot="1">
      <c r="A52" s="101" t="s">
        <v>137</v>
      </c>
      <c r="B52" s="7"/>
      <c r="C52" s="7"/>
      <c r="D52" s="7"/>
      <c r="E52" s="118">
        <v>275742</v>
      </c>
      <c r="F52" s="245">
        <v>2947.5</v>
      </c>
      <c r="G52" s="11"/>
      <c r="H52" s="60"/>
      <c r="I52" s="60"/>
      <c r="J52" s="60"/>
    </row>
    <row r="53" spans="1:10" ht="18.75" thickBot="1">
      <c r="A53" s="91" t="s">
        <v>50</v>
      </c>
      <c r="B53" s="75"/>
      <c r="C53" s="248" t="s">
        <v>17</v>
      </c>
      <c r="D53" s="75" t="s">
        <v>18</v>
      </c>
      <c r="F53" s="250">
        <f>E48/F51</f>
        <v>15.380134138307179</v>
      </c>
      <c r="H53" s="203"/>
      <c r="I53" s="203"/>
      <c r="J53" s="203"/>
    </row>
    <row r="54" ht="15">
      <c r="A54" s="214" t="s">
        <v>51</v>
      </c>
    </row>
    <row r="55" ht="15">
      <c r="A55" s="215" t="s">
        <v>0</v>
      </c>
    </row>
    <row r="56" ht="15">
      <c r="A56" s="214" t="s">
        <v>53</v>
      </c>
    </row>
    <row r="57" spans="1:3" ht="15">
      <c r="A57" s="214" t="s">
        <v>57</v>
      </c>
      <c r="B57" s="92"/>
      <c r="C57" s="92"/>
    </row>
    <row r="58" ht="15">
      <c r="A58" s="214" t="s">
        <v>65</v>
      </c>
    </row>
    <row r="59" spans="1:10" ht="15">
      <c r="A59" s="214" t="s">
        <v>66</v>
      </c>
      <c r="H59" s="249"/>
      <c r="I59" s="249"/>
      <c r="J59" s="249"/>
    </row>
    <row r="60" ht="15">
      <c r="A60" s="212" t="s">
        <v>84</v>
      </c>
    </row>
    <row r="61" spans="1:7" ht="15">
      <c r="A61" s="213" t="s">
        <v>1</v>
      </c>
      <c r="F61" s="49"/>
      <c r="G61" s="49"/>
    </row>
    <row r="62" spans="6:7" ht="15">
      <c r="F62" s="49"/>
      <c r="G62" s="49"/>
    </row>
    <row r="63" spans="6:7" ht="15">
      <c r="F63" s="49"/>
      <c r="G63" s="49"/>
    </row>
    <row r="64" spans="6:7" ht="15">
      <c r="F64" s="49"/>
      <c r="G64" s="49"/>
    </row>
  </sheetData>
  <printOptions/>
  <pageMargins left="0.020833333333333332" right="0" top="0.5" bottom="0.5" header="0.05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39">
      <selection activeCell="I48" sqref="I48:I50"/>
    </sheetView>
  </sheetViews>
  <sheetFormatPr defaultColWidth="8.57421875" defaultRowHeight="15"/>
  <cols>
    <col min="1" max="1" width="36.7109375" style="43" customWidth="1"/>
    <col min="2" max="2" width="10.8515625" style="43" customWidth="1"/>
    <col min="3" max="3" width="10.00390625" style="43" customWidth="1"/>
    <col min="4" max="4" width="10.28125" style="43" customWidth="1"/>
    <col min="5" max="5" width="11.28125" style="43" customWidth="1"/>
    <col min="6" max="6" width="11.7109375" style="43" customWidth="1"/>
    <col min="7" max="7" width="11.8515625" style="43" customWidth="1"/>
    <col min="8" max="8" width="13.8515625" style="43" customWidth="1"/>
    <col min="9" max="9" width="12.28125" style="43" customWidth="1"/>
    <col min="10" max="10" width="36.140625" style="43" customWidth="1"/>
    <col min="11" max="18" width="11.00390625" style="43" customWidth="1"/>
    <col min="19" max="19" width="6.28125" style="43" customWidth="1"/>
    <col min="20" max="16384" width="8.57421875" style="43" customWidth="1"/>
  </cols>
  <sheetData>
    <row r="1" spans="1:18" ht="63.75" customHeight="1" thickBot="1">
      <c r="A1" s="68" t="s">
        <v>85</v>
      </c>
      <c r="B1" s="131" t="s">
        <v>87</v>
      </c>
      <c r="C1" s="131" t="s">
        <v>86</v>
      </c>
      <c r="D1" s="197" t="s">
        <v>80</v>
      </c>
      <c r="E1" s="198" t="s">
        <v>54</v>
      </c>
      <c r="F1" s="198" t="s">
        <v>96</v>
      </c>
      <c r="G1" s="71" t="s">
        <v>45</v>
      </c>
      <c r="H1" s="72" t="s">
        <v>48</v>
      </c>
      <c r="I1" s="72" t="s">
        <v>47</v>
      </c>
      <c r="J1" s="48" t="s">
        <v>85</v>
      </c>
      <c r="K1" s="73" t="s">
        <v>87</v>
      </c>
      <c r="L1" s="73" t="s">
        <v>86</v>
      </c>
      <c r="M1" s="73" t="s">
        <v>79</v>
      </c>
      <c r="N1" s="1" t="s">
        <v>54</v>
      </c>
      <c r="O1" s="1" t="s">
        <v>96</v>
      </c>
      <c r="P1" s="4" t="s">
        <v>45</v>
      </c>
      <c r="Q1" s="58" t="s">
        <v>48</v>
      </c>
      <c r="R1" s="58" t="s">
        <v>47</v>
      </c>
    </row>
    <row r="2" spans="1:18" ht="15.75" thickBot="1">
      <c r="A2" s="103" t="s">
        <v>104</v>
      </c>
      <c r="B2" s="180">
        <v>6182</v>
      </c>
      <c r="C2" s="180">
        <v>6199</v>
      </c>
      <c r="D2" s="181">
        <f>C2/4</f>
        <v>1549.75</v>
      </c>
      <c r="E2" s="181">
        <f>SUM(B2+D2)</f>
        <v>7731.75</v>
      </c>
      <c r="F2" s="194">
        <v>300.75</v>
      </c>
      <c r="G2" s="126">
        <f>E2/F2</f>
        <v>25.708229426433917</v>
      </c>
      <c r="H2" s="182">
        <f>(F2-121)*(16.44)+(F2-121)*(73%*8.22)+(121*11.25)</f>
        <v>5394.9478500000005</v>
      </c>
      <c r="I2" s="130">
        <f>H2/(B2*2.0854+C2*1.426)</f>
        <v>0.2482522618737605</v>
      </c>
      <c r="J2" s="142" t="s">
        <v>74</v>
      </c>
      <c r="K2" s="48"/>
      <c r="L2" s="48"/>
      <c r="M2" s="48"/>
      <c r="N2" s="48"/>
      <c r="O2" s="48"/>
      <c r="P2" s="48"/>
      <c r="Q2" s="48"/>
      <c r="R2" s="48"/>
    </row>
    <row r="3" spans="1:18" ht="15.75" thickBot="1">
      <c r="A3" s="101" t="s">
        <v>105</v>
      </c>
      <c r="B3" s="164">
        <v>6172</v>
      </c>
      <c r="C3" s="164">
        <v>5430</v>
      </c>
      <c r="D3" s="159">
        <f aca="true" t="shared" si="0" ref="D3:D47">C3/4</f>
        <v>1357.5</v>
      </c>
      <c r="E3" s="181">
        <f>SUM(B3+D3)</f>
        <v>7529.5</v>
      </c>
      <c r="F3" s="195">
        <v>282.75</v>
      </c>
      <c r="G3" s="123">
        <f>E3/F3</f>
        <v>26.629531388152078</v>
      </c>
      <c r="H3" s="182">
        <f>(F3-105.25)*(16.44)+(F3-105.25)*(73%*8.22)+(105.25*11.25)+309.38</f>
        <v>5476.649</v>
      </c>
      <c r="I3" s="130">
        <f aca="true" t="shared" si="1" ref="I3:I47">H3/(B3*2.0854+C3*1.426)</f>
        <v>0.265672726650387</v>
      </c>
      <c r="J3" s="102" t="s">
        <v>59</v>
      </c>
      <c r="K3" s="164"/>
      <c r="L3" s="164"/>
      <c r="M3" s="168"/>
      <c r="N3" s="118"/>
      <c r="O3" s="123"/>
      <c r="P3" s="11"/>
      <c r="Q3" s="140"/>
      <c r="R3" s="59"/>
    </row>
    <row r="4" spans="1:18" ht="15.75" thickBot="1">
      <c r="A4" s="102" t="s">
        <v>106</v>
      </c>
      <c r="B4" s="164">
        <v>5824</v>
      </c>
      <c r="C4" s="164">
        <v>5999</v>
      </c>
      <c r="D4" s="159">
        <f t="shared" si="0"/>
        <v>1499.75</v>
      </c>
      <c r="E4" s="181">
        <f>SUM(B4+D4)</f>
        <v>7323.75</v>
      </c>
      <c r="F4" s="196">
        <v>309</v>
      </c>
      <c r="G4" s="123">
        <f aca="true" t="shared" si="2" ref="G4:G47">E4/F4</f>
        <v>23.70145631067961</v>
      </c>
      <c r="H4" s="182">
        <f>(F4-7.5)*(16.44)+(F4-7.5)*(73%*8.22)+(7.5*11.25)</f>
        <v>6850.215900000001</v>
      </c>
      <c r="I4" s="130">
        <f t="shared" si="1"/>
        <v>0.33092920601001063</v>
      </c>
      <c r="J4" s="102" t="s">
        <v>126</v>
      </c>
      <c r="K4" s="164"/>
      <c r="L4" s="164"/>
      <c r="M4" s="168"/>
      <c r="N4" s="118"/>
      <c r="O4" s="159"/>
      <c r="P4" s="11"/>
      <c r="Q4" s="140"/>
      <c r="R4" s="59"/>
    </row>
    <row r="5" spans="1:18" ht="15.75" thickBot="1">
      <c r="A5" s="102" t="s">
        <v>107</v>
      </c>
      <c r="B5" s="164">
        <v>4805</v>
      </c>
      <c r="C5" s="164">
        <v>1718</v>
      </c>
      <c r="D5" s="159">
        <f t="shared" si="0"/>
        <v>429.5</v>
      </c>
      <c r="E5" s="181">
        <f>SUM(B5+D5)</f>
        <v>5234.5</v>
      </c>
      <c r="F5" s="195">
        <v>345</v>
      </c>
      <c r="G5" s="123">
        <f t="shared" si="2"/>
        <v>15.172463768115943</v>
      </c>
      <c r="H5" s="182">
        <f>(F5-25.5)*(16.44)+(F5-25.5)*(73%*8.22)+(25.5*11.25)</f>
        <v>7456.646700000001</v>
      </c>
      <c r="I5" s="130">
        <f t="shared" si="1"/>
        <v>0.5979565468598578</v>
      </c>
      <c r="J5" s="102" t="s">
        <v>136</v>
      </c>
      <c r="K5" s="164"/>
      <c r="L5" s="164"/>
      <c r="M5" s="168"/>
      <c r="N5" s="118"/>
      <c r="O5" s="159"/>
      <c r="P5" s="11"/>
      <c r="Q5" s="140"/>
      <c r="R5" s="59"/>
    </row>
    <row r="6" spans="1:18" ht="15.75" thickBot="1">
      <c r="A6" s="102" t="s">
        <v>108</v>
      </c>
      <c r="B6" s="164">
        <v>6429</v>
      </c>
      <c r="C6" s="164">
        <v>5220</v>
      </c>
      <c r="D6" s="159">
        <f t="shared" si="0"/>
        <v>1305</v>
      </c>
      <c r="E6" s="181">
        <f>SUM(B6+D6)</f>
        <v>7734</v>
      </c>
      <c r="F6" s="195">
        <v>329.75</v>
      </c>
      <c r="G6" s="123">
        <f t="shared" si="2"/>
        <v>23.45413191811979</v>
      </c>
      <c r="H6" s="182">
        <f>(F6-40.75)*(16.44)+(F6-40.75)*(73%*8.22)+(40.75*11.25)+371.25</f>
        <v>7315.020900000001</v>
      </c>
      <c r="I6" s="130">
        <f t="shared" si="1"/>
        <v>0.35082760018406245</v>
      </c>
      <c r="J6" s="102" t="s">
        <v>133</v>
      </c>
      <c r="K6" s="164"/>
      <c r="L6" s="164"/>
      <c r="M6" s="168"/>
      <c r="N6" s="118"/>
      <c r="O6" s="159"/>
      <c r="P6" s="11"/>
      <c r="Q6" s="140"/>
      <c r="R6" s="59"/>
    </row>
    <row r="7" spans="1:18" ht="15.75" thickBot="1">
      <c r="A7" s="101" t="s">
        <v>109</v>
      </c>
      <c r="B7" s="164">
        <v>5851</v>
      </c>
      <c r="C7" s="164">
        <v>5442</v>
      </c>
      <c r="D7" s="159">
        <f t="shared" si="0"/>
        <v>1360.5</v>
      </c>
      <c r="E7" s="181">
        <f aca="true" t="shared" si="3" ref="E7:E14">SUM(B7+D7)</f>
        <v>7211.5</v>
      </c>
      <c r="F7" s="195">
        <v>366</v>
      </c>
      <c r="G7" s="123">
        <f t="shared" si="2"/>
        <v>19.703551912568305</v>
      </c>
      <c r="H7" s="182">
        <f>(F7-90)*(16.44)+(F7-90)*(73%*8.22)+(90*11.25)+226.88</f>
        <v>7432.985600000001</v>
      </c>
      <c r="I7" s="130">
        <f t="shared" si="1"/>
        <v>0.3723573659377883</v>
      </c>
      <c r="J7" s="102" t="s">
        <v>135</v>
      </c>
      <c r="K7" s="164">
        <v>3230</v>
      </c>
      <c r="L7" s="164">
        <v>1330</v>
      </c>
      <c r="M7" s="168">
        <f>L7/2</f>
        <v>665</v>
      </c>
      <c r="N7" s="118">
        <f aca="true" t="shared" si="4" ref="N7:N12">SUM(K7+M7)</f>
        <v>3895</v>
      </c>
      <c r="O7" s="159">
        <v>589</v>
      </c>
      <c r="P7" s="11">
        <f aca="true" t="shared" si="5" ref="P7:P12">N7/O7</f>
        <v>6.612903225806452</v>
      </c>
      <c r="Q7" s="140">
        <f>(O7*16.44)+(O7*73%*8.22)</f>
        <v>13217.5134</v>
      </c>
      <c r="R7" s="59">
        <f aca="true" t="shared" si="6" ref="R7:R12">Q7/(K7*1.96+L7*1.36)</f>
        <v>1.6238529411764704</v>
      </c>
    </row>
    <row r="8" spans="1:18" ht="15.75" thickBot="1">
      <c r="A8" s="102" t="s">
        <v>68</v>
      </c>
      <c r="B8" s="164">
        <v>5853</v>
      </c>
      <c r="C8" s="164">
        <v>5170</v>
      </c>
      <c r="D8" s="159">
        <f t="shared" si="0"/>
        <v>1292.5</v>
      </c>
      <c r="E8" s="181">
        <f t="shared" si="3"/>
        <v>7145.5</v>
      </c>
      <c r="F8" s="195">
        <v>311.25</v>
      </c>
      <c r="G8" s="123">
        <f t="shared" si="2"/>
        <v>22.957429718875503</v>
      </c>
      <c r="H8" s="182">
        <f>(F8-4.25)*(16.44)+(F8-4.25)*(73%*8.22)+(4.25*11.25)+111.38</f>
        <v>7048.456700000002</v>
      </c>
      <c r="I8" s="130">
        <f t="shared" si="1"/>
        <v>0.36001434590770875</v>
      </c>
      <c r="J8" s="102" t="s">
        <v>132</v>
      </c>
      <c r="K8" s="164">
        <v>2651</v>
      </c>
      <c r="L8" s="164">
        <v>1309</v>
      </c>
      <c r="M8" s="168">
        <f>L8/2</f>
        <v>654.5</v>
      </c>
      <c r="N8" s="118">
        <f t="shared" si="4"/>
        <v>3305.5</v>
      </c>
      <c r="O8" s="159">
        <v>421.3</v>
      </c>
      <c r="P8" s="11">
        <f t="shared" si="5"/>
        <v>7.845953002610966</v>
      </c>
      <c r="Q8" s="140">
        <f>(O8-85)*(16.44)+(O8-85)*(73%*8.22)+(85*11.25)</f>
        <v>8503.023780000001</v>
      </c>
      <c r="R8" s="59">
        <f t="shared" si="6"/>
        <v>1.2188618130214157</v>
      </c>
    </row>
    <row r="9" spans="1:18" ht="15.75" thickBot="1">
      <c r="A9" s="101" t="s">
        <v>110</v>
      </c>
      <c r="B9" s="164">
        <v>2869</v>
      </c>
      <c r="C9" s="164">
        <v>2068</v>
      </c>
      <c r="D9" s="159">
        <f t="shared" si="0"/>
        <v>517</v>
      </c>
      <c r="E9" s="181">
        <f t="shared" si="3"/>
        <v>3386</v>
      </c>
      <c r="F9" s="195">
        <v>131.5</v>
      </c>
      <c r="G9" s="123">
        <f t="shared" si="2"/>
        <v>25.749049429657795</v>
      </c>
      <c r="H9" s="182">
        <f>(F9-5)*(16.44)+(F9-5)*(73%*8.22)+(5*11.25)</f>
        <v>2894.9859000000006</v>
      </c>
      <c r="I9" s="130">
        <f t="shared" si="1"/>
        <v>0.3241146650049823</v>
      </c>
      <c r="J9" s="102" t="s">
        <v>129</v>
      </c>
      <c r="K9" s="164">
        <v>2090</v>
      </c>
      <c r="L9" s="164">
        <v>836</v>
      </c>
      <c r="M9" s="168">
        <f>L9/2</f>
        <v>418</v>
      </c>
      <c r="N9" s="118">
        <f t="shared" si="4"/>
        <v>2508</v>
      </c>
      <c r="O9" s="123">
        <v>368.25</v>
      </c>
      <c r="P9" s="11">
        <f t="shared" si="5"/>
        <v>6.810590631364562</v>
      </c>
      <c r="Q9" s="140">
        <f>(O9-24.25)*(16.44)+(O9-24.25)*(73%*8.22)+(24.25*11.25)</f>
        <v>7992.378900000001</v>
      </c>
      <c r="R9" s="59">
        <f t="shared" si="6"/>
        <v>1.5271983773331093</v>
      </c>
    </row>
    <row r="10" spans="1:18" ht="15.75" thickBot="1">
      <c r="A10" s="102" t="s">
        <v>111</v>
      </c>
      <c r="B10" s="164">
        <v>6134</v>
      </c>
      <c r="C10" s="164">
        <v>5003</v>
      </c>
      <c r="D10" s="159">
        <f t="shared" si="0"/>
        <v>1250.75</v>
      </c>
      <c r="E10" s="181">
        <f t="shared" si="3"/>
        <v>7384.75</v>
      </c>
      <c r="F10" s="195">
        <v>325.75</v>
      </c>
      <c r="G10" s="123">
        <f t="shared" si="2"/>
        <v>22.669992325402916</v>
      </c>
      <c r="H10" s="182">
        <f>(F10-31)*(16.44)+(F10-31)*(73%*8.22)+(31*11.25)</f>
        <v>6963.11685</v>
      </c>
      <c r="I10" s="130">
        <f t="shared" si="1"/>
        <v>0.3494466705452606</v>
      </c>
      <c r="J10" s="102" t="s">
        <v>134</v>
      </c>
      <c r="K10" s="164">
        <v>2090</v>
      </c>
      <c r="L10" s="164">
        <v>1330</v>
      </c>
      <c r="M10" s="168">
        <f>L10/4</f>
        <v>332.5</v>
      </c>
      <c r="N10" s="118">
        <f t="shared" si="4"/>
        <v>2422.5</v>
      </c>
      <c r="O10" s="159">
        <v>281.25</v>
      </c>
      <c r="P10" s="11">
        <f t="shared" si="5"/>
        <v>8.613333333333333</v>
      </c>
      <c r="Q10" s="140">
        <f>(O10*16.44)+(O10*73%*8.22)</f>
        <v>6311.41875</v>
      </c>
      <c r="R10" s="59">
        <f t="shared" si="6"/>
        <v>1.0687900071123755</v>
      </c>
    </row>
    <row r="11" spans="1:18" ht="15.75" thickBot="1">
      <c r="A11" s="101" t="s">
        <v>67</v>
      </c>
      <c r="B11" s="164">
        <v>7425</v>
      </c>
      <c r="C11" s="164">
        <v>5588</v>
      </c>
      <c r="D11" s="159">
        <f t="shared" si="0"/>
        <v>1397</v>
      </c>
      <c r="E11" s="181">
        <f t="shared" si="3"/>
        <v>8822</v>
      </c>
      <c r="F11" s="195">
        <v>253</v>
      </c>
      <c r="G11" s="123">
        <f t="shared" si="2"/>
        <v>34.869565217391305</v>
      </c>
      <c r="H11" s="182">
        <f>(F11-89)*(16.44)+(F11-89)*(73%*8.22)+(89*11.25)+253</f>
        <v>4934.508400000001</v>
      </c>
      <c r="I11" s="130">
        <f t="shared" si="1"/>
        <v>0.2104036216394587</v>
      </c>
      <c r="J11" s="102" t="s">
        <v>61</v>
      </c>
      <c r="K11" s="164">
        <v>1884</v>
      </c>
      <c r="L11" s="164">
        <v>1330</v>
      </c>
      <c r="M11" s="168">
        <f>L11/4</f>
        <v>332.5</v>
      </c>
      <c r="N11" s="118">
        <f t="shared" si="4"/>
        <v>2216.5</v>
      </c>
      <c r="O11" s="123">
        <v>196.5</v>
      </c>
      <c r="P11" s="11">
        <f t="shared" si="5"/>
        <v>11.279898218829517</v>
      </c>
      <c r="Q11" s="140">
        <f>(O11-4)*(16.44)+(O11-4)*(73%*8.22)+(4*11.25)</f>
        <v>4364.815500000001</v>
      </c>
      <c r="R11" s="59">
        <f t="shared" si="6"/>
        <v>0.7933950929211261</v>
      </c>
    </row>
    <row r="12" spans="1:18" ht="15.75" thickBot="1">
      <c r="A12" s="101" t="s">
        <v>63</v>
      </c>
      <c r="B12" s="164">
        <v>7764</v>
      </c>
      <c r="C12" s="164">
        <v>7055</v>
      </c>
      <c r="D12" s="159">
        <f t="shared" si="0"/>
        <v>1763.75</v>
      </c>
      <c r="E12" s="181">
        <f t="shared" si="3"/>
        <v>9527.75</v>
      </c>
      <c r="F12" s="195">
        <v>389.25</v>
      </c>
      <c r="G12" s="123">
        <f t="shared" si="2"/>
        <v>24.477199743095696</v>
      </c>
      <c r="H12" s="182">
        <f>(F12-49.5)*(16.44)+(F12-49.5)*(73%*8.22)+(49.5*11.25)+202.69</f>
        <v>8383.75885</v>
      </c>
      <c r="I12" s="130">
        <f t="shared" si="1"/>
        <v>0.3193633370460897</v>
      </c>
      <c r="J12" s="102" t="s">
        <v>131</v>
      </c>
      <c r="K12" s="164">
        <v>1532</v>
      </c>
      <c r="L12" s="164">
        <v>879</v>
      </c>
      <c r="M12" s="168">
        <f>L12/4</f>
        <v>219.75</v>
      </c>
      <c r="N12" s="118">
        <f t="shared" si="4"/>
        <v>1751.75</v>
      </c>
      <c r="O12" s="123">
        <v>238.05</v>
      </c>
      <c r="P12" s="11">
        <f t="shared" si="5"/>
        <v>7.358748162150809</v>
      </c>
      <c r="Q12" s="140">
        <f>(O12-34.25)*(16.44)+(O12-34.25)*(73%*8.22)+(34.25*11.25)</f>
        <v>4958.70678</v>
      </c>
      <c r="R12" s="59">
        <f t="shared" si="6"/>
        <v>1.181161932846771</v>
      </c>
    </row>
    <row r="13" spans="1:18" ht="15.75" thickBot="1">
      <c r="A13" s="102" t="s">
        <v>136</v>
      </c>
      <c r="B13" s="164">
        <v>5609</v>
      </c>
      <c r="C13" s="164">
        <v>1636</v>
      </c>
      <c r="D13" s="159">
        <f>C13/2</f>
        <v>818</v>
      </c>
      <c r="E13" s="181">
        <f t="shared" si="3"/>
        <v>6427</v>
      </c>
      <c r="F13" s="195">
        <v>466</v>
      </c>
      <c r="G13" s="123">
        <f t="shared" si="2"/>
        <v>13.791845493562231</v>
      </c>
      <c r="H13" s="182">
        <f>(F13-82.5)*(16.44)+(F13-82.5)*(73%*8.22)+(82.5*11.25)</f>
        <v>9534.0951</v>
      </c>
      <c r="I13" s="130">
        <f t="shared" si="1"/>
        <v>0.679553296311662</v>
      </c>
      <c r="J13" s="139" t="s">
        <v>75</v>
      </c>
      <c r="K13" s="164"/>
      <c r="L13" s="164"/>
      <c r="M13" s="168"/>
      <c r="N13" s="118"/>
      <c r="O13" s="120"/>
      <c r="P13" s="123"/>
      <c r="Q13" s="143"/>
      <c r="R13" s="59"/>
    </row>
    <row r="14" spans="1:18" ht="15">
      <c r="A14" s="101" t="s">
        <v>113</v>
      </c>
      <c r="B14" s="164">
        <v>5418</v>
      </c>
      <c r="C14" s="164">
        <v>3005</v>
      </c>
      <c r="D14" s="159">
        <f t="shared" si="0"/>
        <v>751.25</v>
      </c>
      <c r="E14" s="181">
        <f t="shared" si="3"/>
        <v>6169.25</v>
      </c>
      <c r="F14" s="195">
        <v>281.25</v>
      </c>
      <c r="G14" s="123">
        <f t="shared" si="2"/>
        <v>21.935111111111112</v>
      </c>
      <c r="H14" s="182">
        <f>(F14-93.5)*(16.44)+(F14-93.5)*(73%*8.22)+(93.25*11.25)</f>
        <v>5262.28515</v>
      </c>
      <c r="I14" s="130">
        <f t="shared" si="1"/>
        <v>0.337676045971557</v>
      </c>
      <c r="J14" s="101" t="s">
        <v>104</v>
      </c>
      <c r="K14" s="164">
        <v>9690</v>
      </c>
      <c r="L14" s="164">
        <v>9310</v>
      </c>
      <c r="M14" s="168">
        <f>L14/4</f>
        <v>2327.5</v>
      </c>
      <c r="N14" s="118">
        <f>SUM(K14+M14)</f>
        <v>12017.5</v>
      </c>
      <c r="O14" s="159">
        <v>371</v>
      </c>
      <c r="P14" s="11">
        <f>N14/O14</f>
        <v>32.392183288409704</v>
      </c>
      <c r="Q14" s="140">
        <f>(O14-78)*(16.44)+(O14-78)*(73%*8.22)+(78*11.25)</f>
        <v>7452.5958</v>
      </c>
      <c r="R14" s="59">
        <f>Q14/(K14*1.96+L14*1.36)</f>
        <v>0.23543930624881532</v>
      </c>
    </row>
    <row r="15" spans="1:18" ht="15.75" thickBot="1">
      <c r="A15" s="102" t="s">
        <v>114</v>
      </c>
      <c r="B15" s="164"/>
      <c r="C15" s="164"/>
      <c r="D15" s="159"/>
      <c r="E15" s="181">
        <v>0</v>
      </c>
      <c r="F15" s="195">
        <v>0</v>
      </c>
      <c r="G15" s="123">
        <v>0</v>
      </c>
      <c r="H15" s="185">
        <v>0</v>
      </c>
      <c r="I15" s="130" t="e">
        <f t="shared" si="1"/>
        <v>#DIV/0!</v>
      </c>
      <c r="J15" s="101" t="s">
        <v>102</v>
      </c>
      <c r="K15" s="164">
        <v>9310</v>
      </c>
      <c r="L15" s="164">
        <v>7410</v>
      </c>
      <c r="M15" s="168">
        <f>L15/4</f>
        <v>1852.5</v>
      </c>
      <c r="N15" s="118">
        <f>SUM(K15+M15)</f>
        <v>11162.5</v>
      </c>
      <c r="O15" s="123">
        <v>545.25</v>
      </c>
      <c r="P15" s="11">
        <f>N15/O15</f>
        <v>20.472260430994957</v>
      </c>
      <c r="Q15" s="140">
        <f>(O15-21.75)*(16.44)+(O15-21.75)*(73%*8.22)+(21.75*11.25)+363</f>
        <v>12355.3416</v>
      </c>
      <c r="R15" s="59">
        <f>Q15/(K15*1.96+L15*1.36)</f>
        <v>0.4361960939375539</v>
      </c>
    </row>
    <row r="16" spans="1:18" ht="18" customHeight="1" thickBot="1">
      <c r="A16" s="101" t="s">
        <v>115</v>
      </c>
      <c r="B16" s="164">
        <v>5231</v>
      </c>
      <c r="C16" s="164">
        <v>3949</v>
      </c>
      <c r="D16" s="159">
        <f t="shared" si="0"/>
        <v>987.25</v>
      </c>
      <c r="E16" s="181">
        <f aca="true" t="shared" si="7" ref="E16:E32">SUM(B16+D16)</f>
        <v>6218.25</v>
      </c>
      <c r="F16" s="195">
        <v>343.5</v>
      </c>
      <c r="G16" s="123">
        <f t="shared" si="2"/>
        <v>18.102620087336245</v>
      </c>
      <c r="H16" s="182">
        <f>(F16-45.5)*(16.44)+(F16-45.5)*(73%*8.22)+(45.5*11.25)</f>
        <v>7199.1738000000005</v>
      </c>
      <c r="I16" s="130">
        <f t="shared" si="1"/>
        <v>0.43525835493581033</v>
      </c>
      <c r="J16" s="102" t="s">
        <v>128</v>
      </c>
      <c r="K16" s="164">
        <v>8506</v>
      </c>
      <c r="L16" s="164">
        <v>4747</v>
      </c>
      <c r="M16" s="168">
        <f>L16/2</f>
        <v>2373.5</v>
      </c>
      <c r="N16" s="118">
        <f>SUM(K16+M16)</f>
        <v>10879.5</v>
      </c>
      <c r="O16" s="159">
        <v>546.8</v>
      </c>
      <c r="P16" s="11">
        <f>N16/O16</f>
        <v>19.896671543525972</v>
      </c>
      <c r="Q16" s="140">
        <f>(O16-7.5)*(16.44)+(O16-7.5)*(73%*8.22)+(7.5*11.25)+297</f>
        <v>12483.59058</v>
      </c>
      <c r="R16" s="59">
        <f>Q16/(K16*1.96+L16*1.36)</f>
        <v>0.5397683892201899</v>
      </c>
    </row>
    <row r="17" spans="1:18" ht="15.75" thickBot="1">
      <c r="A17" s="101" t="s">
        <v>116</v>
      </c>
      <c r="B17" s="164">
        <v>3652</v>
      </c>
      <c r="C17" s="164">
        <v>2915</v>
      </c>
      <c r="D17" s="159">
        <f t="shared" si="0"/>
        <v>728.75</v>
      </c>
      <c r="E17" s="181">
        <f t="shared" si="7"/>
        <v>4380.75</v>
      </c>
      <c r="F17" s="195">
        <v>237.5</v>
      </c>
      <c r="G17" s="123">
        <f t="shared" si="2"/>
        <v>18.445263157894736</v>
      </c>
      <c r="H17" s="182">
        <f>(F17-5.5)*(16.44)+(F17-5.5)*(73%*8.22)+(5.5*11.25)+237.5</f>
        <v>5505.5942000000005</v>
      </c>
      <c r="I17" s="130">
        <f t="shared" si="1"/>
        <v>0.46765889351123285</v>
      </c>
      <c r="J17" s="102" t="s">
        <v>127</v>
      </c>
      <c r="K17" s="164">
        <v>7353</v>
      </c>
      <c r="L17" s="164">
        <v>7223</v>
      </c>
      <c r="M17" s="168">
        <f>L17/2</f>
        <v>3611.5</v>
      </c>
      <c r="N17" s="118">
        <f>SUM(K17+M17)</f>
        <v>10964.5</v>
      </c>
      <c r="O17" s="159">
        <v>578.25</v>
      </c>
      <c r="P17" s="11">
        <f>N17/O17</f>
        <v>18.961521833117164</v>
      </c>
      <c r="Q17" s="140">
        <f>(O17-47.25)*(16.44)+(O17-47.25)*(73%*8.22)+(47.25*11.25)+452</f>
        <v>12899.521100000002</v>
      </c>
      <c r="R17" s="59">
        <f>Q17/(K17*1.96+L17*1.36)</f>
        <v>0.5322647385038928</v>
      </c>
    </row>
    <row r="18" spans="1:18" ht="15.75" thickBot="1">
      <c r="A18" s="101" t="s">
        <v>125</v>
      </c>
      <c r="B18" s="164">
        <v>9744</v>
      </c>
      <c r="C18" s="164">
        <v>8774</v>
      </c>
      <c r="D18" s="159">
        <f>C18/2</f>
        <v>4387</v>
      </c>
      <c r="E18" s="181">
        <f t="shared" si="7"/>
        <v>14131</v>
      </c>
      <c r="F18" s="195">
        <v>564</v>
      </c>
      <c r="G18" s="123">
        <f t="shared" si="2"/>
        <v>25.05496453900709</v>
      </c>
      <c r="H18" s="182">
        <f>(F18-27.5)*(16.44)+(F18-27.5)*(73%*8.22)+(27.5*11.25)+309.38</f>
        <v>12658.136900000001</v>
      </c>
      <c r="I18" s="130">
        <f t="shared" si="1"/>
        <v>0.3855442939610833</v>
      </c>
      <c r="J18" s="101" t="s">
        <v>99</v>
      </c>
      <c r="K18" s="164">
        <v>7831</v>
      </c>
      <c r="L18" s="164">
        <v>7310</v>
      </c>
      <c r="M18" s="169">
        <f>L18/4</f>
        <v>1827.5</v>
      </c>
      <c r="N18" s="118">
        <f>SUM(K18+M18)</f>
        <v>9658.5</v>
      </c>
      <c r="O18" s="123">
        <v>447.75</v>
      </c>
      <c r="P18" s="123">
        <f>N18/O18</f>
        <v>21.571189279731993</v>
      </c>
      <c r="Q18" s="140">
        <f>(O18*16.44)+(O18*73%*8.22)+371</f>
        <v>10418.77865</v>
      </c>
      <c r="R18" s="128">
        <f>Q18/(K18*1.96+L18*1.36)</f>
        <v>0.4119664034043011</v>
      </c>
    </row>
    <row r="19" spans="1:18" ht="15.75" thickBot="1">
      <c r="A19" s="101" t="s">
        <v>73</v>
      </c>
      <c r="B19" s="164">
        <v>3713</v>
      </c>
      <c r="C19" s="164">
        <v>3489</v>
      </c>
      <c r="D19" s="159">
        <f t="shared" si="0"/>
        <v>872.25</v>
      </c>
      <c r="E19" s="181">
        <f t="shared" si="7"/>
        <v>4585.25</v>
      </c>
      <c r="F19" s="195">
        <v>200.75</v>
      </c>
      <c r="G19" s="123">
        <f t="shared" si="2"/>
        <v>22.840597758405977</v>
      </c>
      <c r="H19" s="182">
        <f>(F19-6.5)*(16.44)+(F19-6.5)*(73%*8.22)+(6.5*11.25)</f>
        <v>4432.21155</v>
      </c>
      <c r="I19" s="130">
        <f t="shared" si="1"/>
        <v>0.3484880241500738</v>
      </c>
      <c r="J19" s="102" t="s">
        <v>106</v>
      </c>
      <c r="K19" s="164">
        <v>7410</v>
      </c>
      <c r="L19" s="164">
        <v>6840</v>
      </c>
      <c r="M19" s="168">
        <f>L19/4</f>
        <v>1710</v>
      </c>
      <c r="N19" s="118">
        <f>SUM(K19+M19)</f>
        <v>9120</v>
      </c>
      <c r="O19" s="160">
        <v>395</v>
      </c>
      <c r="P19" s="11">
        <f>N19/O19</f>
        <v>23.088607594936708</v>
      </c>
      <c r="Q19" s="140">
        <f>(O19-31.5)*(16.44)+(O19-31.5)*(73%*8.22)+(31.5*11.25)+67</f>
        <v>8578.5331</v>
      </c>
      <c r="R19" s="59">
        <f>Q19/(K19*1.96+L19*1.36)</f>
        <v>0.360049236128599</v>
      </c>
    </row>
    <row r="20" spans="1:18" ht="15.75" thickBot="1">
      <c r="A20" s="102" t="s">
        <v>132</v>
      </c>
      <c r="B20" s="164">
        <v>1244</v>
      </c>
      <c r="C20" s="164">
        <v>651</v>
      </c>
      <c r="D20" s="159">
        <f>C20/2</f>
        <v>325.5</v>
      </c>
      <c r="E20" s="181">
        <f t="shared" si="7"/>
        <v>1569.5</v>
      </c>
      <c r="F20" s="195">
        <v>235.25</v>
      </c>
      <c r="G20" s="123">
        <f t="shared" si="2"/>
        <v>6.671625929861849</v>
      </c>
      <c r="H20" s="182">
        <f>(F20-60)*(16.44)+(F20-60)*(73%*8.22)+(60*11.25)</f>
        <v>4607.71515</v>
      </c>
      <c r="I20" s="130">
        <f t="shared" si="1"/>
        <v>1.3080573335851198</v>
      </c>
      <c r="J20" s="102" t="s">
        <v>119</v>
      </c>
      <c r="K20" s="164">
        <v>6611</v>
      </c>
      <c r="L20" s="164">
        <v>5815</v>
      </c>
      <c r="M20" s="168">
        <f>L20/4</f>
        <v>1453.75</v>
      </c>
      <c r="N20" s="118">
        <f>SUM(K20+M20)</f>
        <v>8064.75</v>
      </c>
      <c r="O20" s="160">
        <v>357.05</v>
      </c>
      <c r="P20" s="11">
        <f>N20/O20</f>
        <v>22.587172664892872</v>
      </c>
      <c r="Q20" s="140">
        <f>(O20-63.25)*(16.44)+(O20-63.25)*(73%*8.22)+(63.25*11.25)</f>
        <v>7304.61078</v>
      </c>
      <c r="R20" s="59">
        <f>Q20/(K20*1.96+L20*1.36)</f>
        <v>0.35007307499870605</v>
      </c>
    </row>
    <row r="21" spans="1:18" ht="15.75" thickBot="1">
      <c r="A21" s="102" t="s">
        <v>118</v>
      </c>
      <c r="B21" s="164">
        <v>5418</v>
      </c>
      <c r="C21" s="164">
        <v>5299</v>
      </c>
      <c r="D21" s="159">
        <f t="shared" si="0"/>
        <v>1324.75</v>
      </c>
      <c r="E21" s="181">
        <f t="shared" si="7"/>
        <v>6742.75</v>
      </c>
      <c r="F21" s="195">
        <v>300.75</v>
      </c>
      <c r="G21" s="123">
        <f t="shared" si="2"/>
        <v>22.41978387364921</v>
      </c>
      <c r="H21" s="182">
        <f>(F21-79.5)*(16.44)+(F21-79.5)*(73%*8.22)+(79.5*11.25)+216.56</f>
        <v>6075.9177500000005</v>
      </c>
      <c r="I21" s="130">
        <f t="shared" si="1"/>
        <v>0.3222431612986962</v>
      </c>
      <c r="J21" s="101" t="s">
        <v>115</v>
      </c>
      <c r="K21" s="164">
        <v>6828</v>
      </c>
      <c r="L21" s="164">
        <v>4735</v>
      </c>
      <c r="M21" s="168">
        <f>L21/4</f>
        <v>1183.75</v>
      </c>
      <c r="N21" s="118">
        <f>SUM(K21+M21)</f>
        <v>8011.75</v>
      </c>
      <c r="O21" s="160">
        <v>430.8</v>
      </c>
      <c r="P21" s="11">
        <f>N21/O21</f>
        <v>18.597376973073352</v>
      </c>
      <c r="Q21" s="140">
        <f>(O21-44)*(16.44)+(O21-44)*(73%*8.22)+(44*11.25)+297</f>
        <v>9472.024080000001</v>
      </c>
      <c r="R21" s="59">
        <f>Q21/(K21*1.96+L21*1.36)</f>
        <v>0.4778425343347554</v>
      </c>
    </row>
    <row r="22" spans="1:18" ht="15.75" thickBot="1">
      <c r="A22" s="102" t="s">
        <v>133</v>
      </c>
      <c r="B22" s="164">
        <v>4598</v>
      </c>
      <c r="C22" s="164">
        <v>1121</v>
      </c>
      <c r="D22" s="159">
        <f>C22/2</f>
        <v>560.5</v>
      </c>
      <c r="E22" s="181">
        <f t="shared" si="7"/>
        <v>5158.5</v>
      </c>
      <c r="F22" s="195">
        <v>568.5</v>
      </c>
      <c r="G22" s="123">
        <f t="shared" si="2"/>
        <v>9.073878627968337</v>
      </c>
      <c r="H22" s="182">
        <f>(F22-17.5)*(16.44)+(F22-17.5)*(73%*8.22)+(17.5*11.25)</f>
        <v>12561.6456</v>
      </c>
      <c r="I22" s="130">
        <f t="shared" si="1"/>
        <v>1.1228572415412192</v>
      </c>
      <c r="J22" s="101" t="s">
        <v>109</v>
      </c>
      <c r="K22" s="164">
        <v>6179</v>
      </c>
      <c r="L22" s="164">
        <v>6402</v>
      </c>
      <c r="M22" s="168">
        <f>L22/4</f>
        <v>1600.5</v>
      </c>
      <c r="N22" s="118">
        <f>SUM(K22+M22)</f>
        <v>7779.5</v>
      </c>
      <c r="O22" s="160">
        <v>315</v>
      </c>
      <c r="P22" s="11">
        <f>N22/O22</f>
        <v>24.696825396825396</v>
      </c>
      <c r="Q22" s="140">
        <f>(O22-21)*(16.44)+(O22-21)*(73%*8.22)+(21*11.25)+264</f>
        <v>7097.786400000001</v>
      </c>
      <c r="R22" s="59">
        <f>Q22/(K22*1.96+L22*1.36)</f>
        <v>0.340951888693968</v>
      </c>
    </row>
    <row r="23" spans="1:18" ht="15.75" thickBot="1">
      <c r="A23" s="102" t="s">
        <v>134</v>
      </c>
      <c r="B23" s="164">
        <v>1633</v>
      </c>
      <c r="C23" s="164">
        <v>1092</v>
      </c>
      <c r="D23" s="159">
        <f t="shared" si="0"/>
        <v>273</v>
      </c>
      <c r="E23" s="181">
        <f t="shared" si="7"/>
        <v>1906</v>
      </c>
      <c r="F23" s="195">
        <v>230</v>
      </c>
      <c r="G23" s="123">
        <f t="shared" si="2"/>
        <v>8.28695652173913</v>
      </c>
      <c r="H23" s="182">
        <f>(F23-0)*(16.44)+(F23-0)*(73%*8.22)+(0*11.25)</f>
        <v>5161.338000000001</v>
      </c>
      <c r="I23" s="130">
        <f t="shared" si="1"/>
        <v>1.0400366320398726</v>
      </c>
      <c r="J23" s="102" t="s">
        <v>107</v>
      </c>
      <c r="K23" s="164">
        <v>6080</v>
      </c>
      <c r="L23" s="164">
        <v>2185</v>
      </c>
      <c r="M23" s="168">
        <f>L23/4</f>
        <v>546.25</v>
      </c>
      <c r="N23" s="118">
        <f>SUM(K23+M23)</f>
        <v>6626.25</v>
      </c>
      <c r="O23" s="160">
        <v>499.5</v>
      </c>
      <c r="P23" s="11">
        <f>N23/O23</f>
        <v>13.265765765765765</v>
      </c>
      <c r="Q23" s="140">
        <f>(O23-4)*(16.44)+(O23-4)*(73%*8.22)+(4*11.25)</f>
        <v>11164.3173</v>
      </c>
      <c r="R23" s="59">
        <f>Q23/(K23*1.96+L23*1.36)</f>
        <v>0.7498668292093174</v>
      </c>
    </row>
    <row r="24" spans="1:18" ht="15.75" thickBot="1">
      <c r="A24" s="102" t="s">
        <v>126</v>
      </c>
      <c r="B24" s="164">
        <v>8524</v>
      </c>
      <c r="C24" s="164">
        <v>3052</v>
      </c>
      <c r="D24" s="159">
        <f>C24/2</f>
        <v>1526</v>
      </c>
      <c r="E24" s="181">
        <f t="shared" si="7"/>
        <v>10050</v>
      </c>
      <c r="F24" s="195">
        <v>631.25</v>
      </c>
      <c r="G24" s="123">
        <f t="shared" si="2"/>
        <v>15.92079207920792</v>
      </c>
      <c r="H24" s="182">
        <f>(F24-27.75)*(16.44)+(F24-27.75)*(73%*8.22)+(27.75*11.25)</f>
        <v>13855.089600000001</v>
      </c>
      <c r="I24" s="130">
        <f t="shared" si="1"/>
        <v>0.6261309646192152</v>
      </c>
      <c r="J24" s="101"/>
      <c r="K24" s="164"/>
      <c r="L24" s="164"/>
      <c r="M24" s="168"/>
      <c r="N24" s="118"/>
      <c r="O24" s="161"/>
      <c r="P24" s="123"/>
      <c r="Q24" s="143"/>
      <c r="R24" s="59"/>
    </row>
    <row r="25" spans="1:18" ht="15.75" thickBot="1">
      <c r="A25" s="102" t="s">
        <v>119</v>
      </c>
      <c r="B25" s="164">
        <v>6254</v>
      </c>
      <c r="C25" s="164">
        <v>5560</v>
      </c>
      <c r="D25" s="159">
        <f t="shared" si="0"/>
        <v>1390</v>
      </c>
      <c r="E25" s="181">
        <f t="shared" si="7"/>
        <v>7644</v>
      </c>
      <c r="F25" s="195">
        <v>287.75</v>
      </c>
      <c r="G25" s="123">
        <f t="shared" si="2"/>
        <v>26.56472632493484</v>
      </c>
      <c r="H25" s="182">
        <f>(F25-60)*(16.44)+(F25-60)*(73%*8.22)+(60*11.25)</f>
        <v>5785.84665</v>
      </c>
      <c r="I25" s="130">
        <f t="shared" si="1"/>
        <v>0.27590209214099964</v>
      </c>
      <c r="J25" s="142" t="s">
        <v>76</v>
      </c>
      <c r="K25" s="165"/>
      <c r="L25" s="165"/>
      <c r="M25" s="170"/>
      <c r="N25" s="167"/>
      <c r="O25" s="54"/>
      <c r="P25" s="20"/>
      <c r="Q25" s="48"/>
      <c r="R25" s="48"/>
    </row>
    <row r="26" spans="1:18" ht="15.75" thickBot="1">
      <c r="A26" s="102" t="s">
        <v>120</v>
      </c>
      <c r="B26" s="164">
        <v>6393</v>
      </c>
      <c r="C26" s="164">
        <v>3660</v>
      </c>
      <c r="D26" s="159">
        <f t="shared" si="0"/>
        <v>915</v>
      </c>
      <c r="E26" s="181">
        <f t="shared" si="7"/>
        <v>7308</v>
      </c>
      <c r="F26" s="195">
        <v>312</v>
      </c>
      <c r="G26" s="123">
        <f t="shared" si="2"/>
        <v>23.423076923076923</v>
      </c>
      <c r="H26" s="182">
        <f>(F26-33.75)*(16.44)+(F26-33.75)*(73%*8.22)+(33.75*11.25)+317.63</f>
        <v>6941.41445</v>
      </c>
      <c r="I26" s="130">
        <f t="shared" si="1"/>
        <v>0.37417760366000935</v>
      </c>
      <c r="J26" s="101" t="s">
        <v>125</v>
      </c>
      <c r="K26" s="164">
        <v>11780</v>
      </c>
      <c r="L26" s="164">
        <v>10925</v>
      </c>
      <c r="M26" s="169">
        <f>L26/2</f>
        <v>5462.5</v>
      </c>
      <c r="N26" s="118">
        <f>SUM(K26+M26)</f>
        <v>17242.5</v>
      </c>
      <c r="O26" s="160">
        <v>641.75</v>
      </c>
      <c r="P26" s="123">
        <f>N26/O26</f>
        <v>26.867939228671602</v>
      </c>
      <c r="Q26" s="140">
        <f>(O26-49.75)*(16.44)+(O26-49.75)*(73%*8.22)+(49.75*11.25)+90</f>
        <v>13934.522700000001</v>
      </c>
      <c r="R26" s="128">
        <f>Q26/(K26*1.96+L26*1.36)</f>
        <v>0.3672120626772218</v>
      </c>
    </row>
    <row r="27" spans="1:18" ht="15.75" thickBot="1">
      <c r="A27" s="105" t="s">
        <v>81</v>
      </c>
      <c r="B27" s="164">
        <v>2269</v>
      </c>
      <c r="C27" s="164">
        <v>2384</v>
      </c>
      <c r="D27" s="159">
        <f t="shared" si="0"/>
        <v>596</v>
      </c>
      <c r="E27" s="181">
        <f t="shared" si="7"/>
        <v>2865</v>
      </c>
      <c r="F27" s="195">
        <v>237.75</v>
      </c>
      <c r="G27" s="123">
        <f t="shared" si="2"/>
        <v>12.050473186119874</v>
      </c>
      <c r="H27" s="182">
        <f>(F27-57.25)*(16.44)+(F27-57.25)*(73%*8.22)+(57.25*11.25)+49.5</f>
        <v>4744.0908</v>
      </c>
      <c r="I27" s="130">
        <f t="shared" si="1"/>
        <v>0.5834316502611631</v>
      </c>
      <c r="J27" s="101" t="s">
        <v>63</v>
      </c>
      <c r="K27" s="164">
        <v>10081</v>
      </c>
      <c r="L27" s="164">
        <v>9357</v>
      </c>
      <c r="M27" s="169">
        <f>L27/4</f>
        <v>2339.25</v>
      </c>
      <c r="N27" s="118">
        <f>SUM(K27+M27)</f>
        <v>12420.25</v>
      </c>
      <c r="O27" s="160">
        <v>497.8</v>
      </c>
      <c r="P27" s="123">
        <f>N27/O27</f>
        <v>24.950281237444756</v>
      </c>
      <c r="Q27" s="140">
        <f>(O27-75)*(16.44)+(O27-75)*(73%*8.22)+(75*11.25)+264</f>
        <v>10595.635680000001</v>
      </c>
      <c r="R27" s="128">
        <f>Q27/(K27*1.96+L27*1.36)</f>
        <v>0.32617732884952355</v>
      </c>
    </row>
    <row r="28" spans="1:18" ht="15.75" thickBot="1">
      <c r="A28" s="102" t="s">
        <v>127</v>
      </c>
      <c r="B28" s="164">
        <v>6630</v>
      </c>
      <c r="C28" s="164">
        <v>7137</v>
      </c>
      <c r="D28" s="159">
        <f>C28/2</f>
        <v>3568.5</v>
      </c>
      <c r="E28" s="181">
        <f t="shared" si="7"/>
        <v>10198.5</v>
      </c>
      <c r="F28" s="195">
        <v>438.5</v>
      </c>
      <c r="G28" s="123">
        <f t="shared" si="2"/>
        <v>23.25769669327252</v>
      </c>
      <c r="H28" s="182">
        <f>(F28-57.5)*(16.44)+(F28-57.5)*(73%*8.22)+(57.5*11.25)+247.5</f>
        <v>9444.243600000002</v>
      </c>
      <c r="I28" s="130">
        <f t="shared" si="1"/>
        <v>0.39345172241922083</v>
      </c>
      <c r="J28" s="101" t="s">
        <v>62</v>
      </c>
      <c r="K28" s="164">
        <v>7465</v>
      </c>
      <c r="L28" s="164">
        <v>7600</v>
      </c>
      <c r="M28" s="169">
        <f>L28/2</f>
        <v>3800</v>
      </c>
      <c r="N28" s="118">
        <f>SUM(K28+M28)</f>
        <v>11265</v>
      </c>
      <c r="O28" s="123">
        <v>507</v>
      </c>
      <c r="P28" s="123">
        <f>N28/O28</f>
        <v>22.218934911242602</v>
      </c>
      <c r="Q28" s="140">
        <f>(O28-63.5)*(16.44)+(O28-63.5)*(73%*8.22)+(63.5*11.25)</f>
        <v>10666.7811</v>
      </c>
      <c r="R28" s="128">
        <f>Q28/(K28*1.96+L28*1.36)</f>
        <v>0.4272283497680976</v>
      </c>
    </row>
    <row r="29" spans="1:18" ht="15.75" thickBot="1">
      <c r="A29" s="102" t="s">
        <v>69</v>
      </c>
      <c r="B29" s="164">
        <v>4585</v>
      </c>
      <c r="C29" s="164">
        <v>4102</v>
      </c>
      <c r="D29" s="159">
        <f t="shared" si="0"/>
        <v>1025.5</v>
      </c>
      <c r="E29" s="181">
        <f t="shared" si="7"/>
        <v>5610.5</v>
      </c>
      <c r="F29" s="195">
        <v>240</v>
      </c>
      <c r="G29" s="123">
        <f t="shared" si="2"/>
        <v>23.377083333333335</v>
      </c>
      <c r="H29" s="182">
        <f>(F29-52.6)*(16.44)+(F29-52.5)*(73%*8.22)+(52.5*11.25)+247.5</f>
        <v>5044.093500000001</v>
      </c>
      <c r="I29" s="130">
        <f t="shared" si="1"/>
        <v>0.32730451623193324</v>
      </c>
      <c r="J29" s="102" t="s">
        <v>108</v>
      </c>
      <c r="K29" s="164">
        <v>8360</v>
      </c>
      <c r="L29" s="164">
        <v>6270</v>
      </c>
      <c r="M29" s="169">
        <f>L29/4</f>
        <v>1567.5</v>
      </c>
      <c r="N29" s="118">
        <f>SUM(K29+M29)</f>
        <v>9927.5</v>
      </c>
      <c r="O29" s="159">
        <v>361</v>
      </c>
      <c r="P29" s="123">
        <f>N29/O29</f>
        <v>27.5</v>
      </c>
      <c r="Q29" s="140">
        <f>(O29*16.44)+(O29*73%*8.22)+371</f>
        <v>8472.0566</v>
      </c>
      <c r="R29" s="128">
        <f>Q29/(K29*1.96+L29*1.36)</f>
        <v>0.3400684226582319</v>
      </c>
    </row>
    <row r="30" spans="1:18" ht="15.75" thickBot="1">
      <c r="A30" s="102" t="s">
        <v>135</v>
      </c>
      <c r="B30" s="164">
        <v>1757</v>
      </c>
      <c r="C30" s="164">
        <v>936</v>
      </c>
      <c r="D30" s="159">
        <f>C30/2</f>
        <v>468</v>
      </c>
      <c r="E30" s="181">
        <f t="shared" si="7"/>
        <v>2225</v>
      </c>
      <c r="F30" s="195">
        <v>408.5</v>
      </c>
      <c r="G30" s="123">
        <f t="shared" si="2"/>
        <v>5.4467564259485926</v>
      </c>
      <c r="H30" s="182">
        <f>(F30-42)*(16.44)+(F30-42)*(73%*8.22)+(42*11.25)</f>
        <v>8696.9799</v>
      </c>
      <c r="I30" s="130">
        <f t="shared" si="1"/>
        <v>1.7398191736157906</v>
      </c>
      <c r="J30" s="101" t="s">
        <v>67</v>
      </c>
      <c r="K30" s="164">
        <v>8445</v>
      </c>
      <c r="L30" s="164">
        <v>5537</v>
      </c>
      <c r="M30" s="169">
        <f>L30/4</f>
        <v>1384.25</v>
      </c>
      <c r="N30" s="118">
        <f>SUM(K30+M30)</f>
        <v>9829.25</v>
      </c>
      <c r="O30" s="159">
        <v>343.5</v>
      </c>
      <c r="P30" s="123">
        <f>N30/O30</f>
        <v>28.614992721979622</v>
      </c>
      <c r="Q30" s="140">
        <f>(O30-77.5)*(16.44)+(O30-77.5)*(73%*8.22)+(77.5*11.25)+264</f>
        <v>7105.0746</v>
      </c>
      <c r="R30" s="128">
        <f>Q30/(K30*1.96+L30*1.36)</f>
        <v>0.295030362271058</v>
      </c>
    </row>
    <row r="31" spans="1:18" ht="15.75" thickBot="1">
      <c r="A31" s="102" t="s">
        <v>70</v>
      </c>
      <c r="B31" s="164">
        <v>2818</v>
      </c>
      <c r="C31" s="164">
        <v>2467</v>
      </c>
      <c r="D31" s="159">
        <f t="shared" si="0"/>
        <v>616.75</v>
      </c>
      <c r="E31" s="181">
        <f t="shared" si="7"/>
        <v>3434.75</v>
      </c>
      <c r="F31" s="195">
        <v>178</v>
      </c>
      <c r="G31" s="123">
        <f t="shared" si="2"/>
        <v>19.296348314606742</v>
      </c>
      <c r="H31" s="182">
        <f>(F31-174)*(16.44)+(F31-174)*(73%*8.22)+(174*11.25)+247.5</f>
        <v>2294.7624</v>
      </c>
      <c r="I31" s="130">
        <f t="shared" si="1"/>
        <v>0.24426400223651903</v>
      </c>
      <c r="J31" s="101" t="s">
        <v>105</v>
      </c>
      <c r="K31" s="164">
        <v>7980</v>
      </c>
      <c r="L31" s="164">
        <v>6840</v>
      </c>
      <c r="M31" s="169">
        <f>L31/4</f>
        <v>1710</v>
      </c>
      <c r="N31" s="118">
        <f>SUM(K31+M31)</f>
        <v>9690</v>
      </c>
      <c r="O31" s="159">
        <v>301.3</v>
      </c>
      <c r="P31" s="123">
        <f>N31/O31</f>
        <v>32.16063723863259</v>
      </c>
      <c r="Q31" s="140">
        <f>(O31-78)*(16.44)+(O31-78)*(73%*8.22)+(78*11.25)+371</f>
        <v>6259.485980000001</v>
      </c>
      <c r="R31" s="128">
        <f>Q31/(K31*1.96+L31*1.36)</f>
        <v>0.25094959668366534</v>
      </c>
    </row>
    <row r="32" spans="1:18" ht="17.25" customHeight="1">
      <c r="A32" s="102" t="s">
        <v>128</v>
      </c>
      <c r="B32" s="164">
        <v>7041</v>
      </c>
      <c r="C32" s="164">
        <v>5140</v>
      </c>
      <c r="D32" s="159">
        <f>C32/2</f>
        <v>2570</v>
      </c>
      <c r="E32" s="159">
        <f t="shared" si="7"/>
        <v>9611</v>
      </c>
      <c r="F32" s="195">
        <v>425.75</v>
      </c>
      <c r="G32" s="123">
        <f t="shared" si="2"/>
        <v>22.57428068115091</v>
      </c>
      <c r="H32" s="182">
        <f>(F32-0)*(16.44)+(F32-0)*(73%*8.22)+(0*11.25)+278.44</f>
        <v>9832.525450000001</v>
      </c>
      <c r="I32" s="130">
        <f t="shared" si="1"/>
        <v>0.4466702232714798</v>
      </c>
      <c r="J32" s="125"/>
      <c r="K32" s="125"/>
      <c r="L32" s="125"/>
      <c r="M32" s="125"/>
      <c r="N32" s="125"/>
      <c r="O32" s="125"/>
      <c r="P32" s="125"/>
      <c r="Q32" s="125"/>
      <c r="R32" s="125"/>
    </row>
    <row r="33" spans="1:18" ht="76.5" customHeight="1" thickBot="1">
      <c r="A33" s="144" t="s">
        <v>85</v>
      </c>
      <c r="B33" s="131" t="s">
        <v>87</v>
      </c>
      <c r="C33" s="131" t="s">
        <v>86</v>
      </c>
      <c r="D33" s="117" t="s">
        <v>80</v>
      </c>
      <c r="E33" s="117" t="s">
        <v>54</v>
      </c>
      <c r="F33" s="244" t="s">
        <v>96</v>
      </c>
      <c r="G33" s="145" t="s">
        <v>46</v>
      </c>
      <c r="H33" s="132" t="s">
        <v>48</v>
      </c>
      <c r="I33" s="72" t="s">
        <v>47</v>
      </c>
      <c r="J33" s="20" t="s">
        <v>85</v>
      </c>
      <c r="K33" s="135" t="s">
        <v>87</v>
      </c>
      <c r="L33" s="135" t="s">
        <v>86</v>
      </c>
      <c r="M33" s="135" t="s">
        <v>94</v>
      </c>
      <c r="N33" s="136" t="s">
        <v>54</v>
      </c>
      <c r="O33" s="136" t="s">
        <v>96</v>
      </c>
      <c r="P33" s="137" t="s">
        <v>45</v>
      </c>
      <c r="Q33" s="138" t="s">
        <v>48</v>
      </c>
      <c r="R33" s="138" t="s">
        <v>47</v>
      </c>
    </row>
    <row r="34" spans="1:18" ht="15.75" thickBot="1">
      <c r="A34" s="119" t="s">
        <v>129</v>
      </c>
      <c r="B34" s="174">
        <v>1616</v>
      </c>
      <c r="C34" s="187">
        <v>722</v>
      </c>
      <c r="D34" s="173">
        <f>C34/2</f>
        <v>361</v>
      </c>
      <c r="E34" s="173">
        <f aca="true" t="shared" si="8" ref="E34:E47">SUM(B34+D34)</f>
        <v>1977</v>
      </c>
      <c r="F34" s="193">
        <v>296.5</v>
      </c>
      <c r="G34" s="126">
        <f t="shared" si="2"/>
        <v>6.6677908937605395</v>
      </c>
      <c r="H34" s="182">
        <f>(F34-34)*(16.44)+(F34-34)*(73%*8.22)+(34*11.25)</f>
        <v>6273.1575</v>
      </c>
      <c r="I34" s="130">
        <f t="shared" si="1"/>
        <v>1.4258542363968332</v>
      </c>
      <c r="J34" s="139" t="s">
        <v>77</v>
      </c>
      <c r="K34" s="20"/>
      <c r="L34" s="20"/>
      <c r="M34" s="127"/>
      <c r="N34" s="118"/>
      <c r="O34" s="133"/>
      <c r="P34" s="123"/>
      <c r="Q34" s="140"/>
      <c r="R34" s="128"/>
    </row>
    <row r="35" spans="1:18" ht="15.75" thickBot="1">
      <c r="A35" s="102" t="s">
        <v>130</v>
      </c>
      <c r="B35" s="175">
        <v>0</v>
      </c>
      <c r="C35" s="188">
        <v>0</v>
      </c>
      <c r="D35" s="173">
        <f>C35/4</f>
        <v>0</v>
      </c>
      <c r="E35" s="173">
        <f t="shared" si="8"/>
        <v>0</v>
      </c>
      <c r="F35" s="163">
        <v>0</v>
      </c>
      <c r="G35" s="123">
        <v>0</v>
      </c>
      <c r="H35" s="182">
        <v>0</v>
      </c>
      <c r="I35" s="130" t="e">
        <f t="shared" si="1"/>
        <v>#DIV/0!</v>
      </c>
      <c r="J35" s="101" t="s">
        <v>71</v>
      </c>
      <c r="K35" s="164">
        <v>6965</v>
      </c>
      <c r="L35" s="164">
        <v>5376</v>
      </c>
      <c r="M35" s="169">
        <f>L35/2</f>
        <v>2688</v>
      </c>
      <c r="N35" s="162">
        <f>SUM(K35+M35)</f>
        <v>9653</v>
      </c>
      <c r="O35" s="163">
        <v>422.75</v>
      </c>
      <c r="P35" s="123">
        <f>N35/O35</f>
        <v>22.833826138379656</v>
      </c>
      <c r="Q35" s="140">
        <f>(O35-33.25)*(16.44)+(O35-33.25)*(73%*8.22)+(33.25*11.25)+371</f>
        <v>9485.6762</v>
      </c>
      <c r="R35" s="128">
        <f>Q35/(K35*1.96+L35*1.36)</f>
        <v>0.45250130230942864</v>
      </c>
    </row>
    <row r="36" spans="1:18" ht="15.75" thickBot="1">
      <c r="A36" s="102" t="s">
        <v>61</v>
      </c>
      <c r="B36" s="175">
        <v>1391</v>
      </c>
      <c r="C36" s="188">
        <v>1079</v>
      </c>
      <c r="D36" s="169">
        <f t="shared" si="0"/>
        <v>269.75</v>
      </c>
      <c r="E36" s="173">
        <f t="shared" si="8"/>
        <v>1660.75</v>
      </c>
      <c r="F36" s="163">
        <v>148.5</v>
      </c>
      <c r="G36" s="123">
        <f t="shared" si="2"/>
        <v>11.183501683501683</v>
      </c>
      <c r="H36" s="182">
        <f>(F36-0)*(16.44)+(F36-0)*(73%*8.22)+(0*11.25)</f>
        <v>3332.4291000000003</v>
      </c>
      <c r="I36" s="130">
        <f t="shared" si="1"/>
        <v>0.7506408570764267</v>
      </c>
      <c r="J36" s="102" t="s">
        <v>120</v>
      </c>
      <c r="K36" s="164">
        <v>8291</v>
      </c>
      <c r="L36" s="164">
        <v>3630</v>
      </c>
      <c r="M36" s="169">
        <f>L36/4</f>
        <v>907.5</v>
      </c>
      <c r="N36" s="162">
        <f>SUM(K36+M36)</f>
        <v>9198.5</v>
      </c>
      <c r="O36" s="160">
        <v>378.25</v>
      </c>
      <c r="P36" s="123">
        <f>N36/O36</f>
        <v>24.31857237276933</v>
      </c>
      <c r="Q36" s="140">
        <f>(O36-10.25)*(16.44)+(O36-10.25)*(73%*8.22)+(10.25*11.25)+99</f>
        <v>8472.453300000001</v>
      </c>
      <c r="R36" s="128">
        <f>Q36/(K36*1.96+L36*1.36)</f>
        <v>0.39988621882309855</v>
      </c>
    </row>
    <row r="37" spans="1:18" ht="15.75" thickBot="1">
      <c r="A37" s="105" t="s">
        <v>97</v>
      </c>
      <c r="B37" s="175">
        <v>2676</v>
      </c>
      <c r="C37" s="188">
        <v>2114</v>
      </c>
      <c r="D37" s="169">
        <f t="shared" si="0"/>
        <v>528.5</v>
      </c>
      <c r="E37" s="173">
        <f t="shared" si="8"/>
        <v>3204.5</v>
      </c>
      <c r="F37" s="163">
        <v>135.25</v>
      </c>
      <c r="G37" s="123">
        <f t="shared" si="2"/>
        <v>23.693160813308687</v>
      </c>
      <c r="H37" s="182">
        <f>(F37-41.5)*(16.44)+(F37-41.5)*(73%*8.22)+(41.5*11.25)+198</f>
        <v>2768.6812500000005</v>
      </c>
      <c r="I37" s="130">
        <f t="shared" si="1"/>
        <v>0.32212342542741595</v>
      </c>
      <c r="J37" s="102" t="s">
        <v>68</v>
      </c>
      <c r="K37" s="164">
        <v>7376</v>
      </c>
      <c r="L37" s="164">
        <v>6590</v>
      </c>
      <c r="M37" s="169">
        <f>L37/4</f>
        <v>1647.5</v>
      </c>
      <c r="N37" s="162">
        <f>SUM(K37+M37)</f>
        <v>9023.5</v>
      </c>
      <c r="O37" s="160">
        <v>391.25</v>
      </c>
      <c r="P37" s="123">
        <f>N37/O37</f>
        <v>23.06325878594249</v>
      </c>
      <c r="Q37" s="140">
        <f>(O37*16.44)+(O37*73%*8.22)+87</f>
        <v>8866.884750000001</v>
      </c>
      <c r="R37" s="128">
        <f>Q37/(K37*1.96+L37*1.36)</f>
        <v>0.3786134527160435</v>
      </c>
    </row>
    <row r="38" spans="1:18" ht="15.75" thickBot="1">
      <c r="A38" s="102" t="s">
        <v>131</v>
      </c>
      <c r="B38" s="175">
        <v>1184</v>
      </c>
      <c r="C38" s="188">
        <v>310</v>
      </c>
      <c r="D38" s="169">
        <f t="shared" si="0"/>
        <v>77.5</v>
      </c>
      <c r="E38" s="173">
        <f t="shared" si="8"/>
        <v>1261.5</v>
      </c>
      <c r="F38" s="163">
        <v>223.5</v>
      </c>
      <c r="G38" s="123">
        <f t="shared" si="2"/>
        <v>5.644295302013423</v>
      </c>
      <c r="H38" s="182">
        <f>(F38-48.5)*(16.44)+(F38-48.5)*(73%*8.22)+(48.5*11.25)</f>
        <v>4472.73</v>
      </c>
      <c r="I38" s="130">
        <f t="shared" si="1"/>
        <v>1.5364009896215052</v>
      </c>
      <c r="J38" s="102" t="s">
        <v>118</v>
      </c>
      <c r="K38" s="164">
        <v>7526</v>
      </c>
      <c r="L38" s="164">
        <v>5835</v>
      </c>
      <c r="M38" s="169">
        <f>L38/4</f>
        <v>1458.75</v>
      </c>
      <c r="N38" s="162">
        <f>SUM(K38+M38)</f>
        <v>8984.75</v>
      </c>
      <c r="O38" s="160">
        <v>376.75</v>
      </c>
      <c r="P38" s="123">
        <f>N38/O38</f>
        <v>23.848042468480426</v>
      </c>
      <c r="Q38" s="140">
        <f>(O38-38.75)*(16.44)+(O38-38.75)*(73%*8.22)+(38.75*11.25)+254</f>
        <v>8274.8603</v>
      </c>
      <c r="R38" s="128">
        <f>Q38/(K38*1.96+L38*1.36)</f>
        <v>0.364747246828078</v>
      </c>
    </row>
    <row r="39" spans="1:18" ht="15.75" thickBot="1">
      <c r="A39" s="102" t="s">
        <v>98</v>
      </c>
      <c r="B39" s="175">
        <v>6050</v>
      </c>
      <c r="C39" s="188">
        <v>5970</v>
      </c>
      <c r="D39" s="169">
        <f t="shared" si="0"/>
        <v>1492.5</v>
      </c>
      <c r="E39" s="173">
        <f t="shared" si="8"/>
        <v>7542.5</v>
      </c>
      <c r="F39" s="163">
        <v>180.5</v>
      </c>
      <c r="G39" s="123">
        <f t="shared" si="2"/>
        <v>41.78670360110803</v>
      </c>
      <c r="H39" s="182">
        <f>(F39-84)*(16.44)+(F39-84)*(73%*8.22)+(84*11.25)+154.69</f>
        <v>3265.2079</v>
      </c>
      <c r="I39" s="130">
        <f t="shared" si="1"/>
        <v>0.1545302838774835</v>
      </c>
      <c r="J39" s="101" t="s">
        <v>100</v>
      </c>
      <c r="K39" s="164">
        <v>7200</v>
      </c>
      <c r="L39" s="164">
        <v>6480</v>
      </c>
      <c r="M39" s="169">
        <f>L39/4</f>
        <v>1620</v>
      </c>
      <c r="N39" s="162">
        <f>SUM(K39+M39)</f>
        <v>8820</v>
      </c>
      <c r="O39" s="163">
        <v>383.8</v>
      </c>
      <c r="P39" s="123">
        <f>N39/O39</f>
        <v>22.980719124544034</v>
      </c>
      <c r="Q39" s="140">
        <f>(O39-97)*(16.44)+(O39-97)*(73%*8.22)+(97*11.25)</f>
        <v>7527.214080000001</v>
      </c>
      <c r="R39" s="128">
        <f>Q39/(K39*1.96+L39*1.36)</f>
        <v>0.3283437185929648</v>
      </c>
    </row>
    <row r="40" spans="1:18" ht="15.75" thickBot="1">
      <c r="A40" s="101" t="s">
        <v>62</v>
      </c>
      <c r="B40" s="175">
        <v>5411</v>
      </c>
      <c r="C40" s="188">
        <v>6227</v>
      </c>
      <c r="D40" s="169">
        <f>C40/2</f>
        <v>3113.5</v>
      </c>
      <c r="E40" s="173">
        <f t="shared" si="8"/>
        <v>8524.5</v>
      </c>
      <c r="F40" s="163">
        <v>435</v>
      </c>
      <c r="G40" s="123">
        <f t="shared" si="2"/>
        <v>19.59655172413793</v>
      </c>
      <c r="H40" s="182">
        <f>(F40-36.5)*(16.44)+(F40-36.5)*(73%*8.22)+(36.5*11.25)</f>
        <v>9353.2041</v>
      </c>
      <c r="I40" s="130">
        <f t="shared" si="1"/>
        <v>0.4638611497135655</v>
      </c>
      <c r="J40" s="102" t="s">
        <v>111</v>
      </c>
      <c r="K40" s="164">
        <v>7300</v>
      </c>
      <c r="L40" s="164">
        <v>5130</v>
      </c>
      <c r="M40" s="169">
        <f>L40/4</f>
        <v>1282.5</v>
      </c>
      <c r="N40" s="162">
        <f>SUM(K40+M40)</f>
        <v>8582.5</v>
      </c>
      <c r="O40" s="160">
        <v>412.25</v>
      </c>
      <c r="P40" s="123">
        <f>N40/O40</f>
        <v>20.81867798665858</v>
      </c>
      <c r="Q40" s="140">
        <f>(O40-3.25)*(16.44)+(O40-3.25)*(73%*8.22)+(3.25*11.25)</f>
        <v>9214.7679</v>
      </c>
      <c r="R40" s="128">
        <f>Q40/(K40*1.96+L40*1.36)</f>
        <v>0.43292715458919045</v>
      </c>
    </row>
    <row r="41" spans="1:18" ht="15.75" thickBot="1">
      <c r="A41" s="101" t="s">
        <v>71</v>
      </c>
      <c r="B41" s="175">
        <v>6828</v>
      </c>
      <c r="C41" s="188">
        <v>5857</v>
      </c>
      <c r="D41" s="169">
        <f>C41/2</f>
        <v>2928.5</v>
      </c>
      <c r="E41" s="173">
        <f t="shared" si="8"/>
        <v>9756.5</v>
      </c>
      <c r="F41" s="163">
        <v>308.25</v>
      </c>
      <c r="G41" s="123">
        <f t="shared" si="2"/>
        <v>31.65125709651257</v>
      </c>
      <c r="H41" s="182">
        <f>(F41-0)*(16.44)+(F41-0)*(73%*8.22)+(0*11.25)*206.25</f>
        <v>6917.31495</v>
      </c>
      <c r="I41" s="130">
        <f t="shared" si="1"/>
        <v>0.30619520132296507</v>
      </c>
      <c r="J41" s="101" t="s">
        <v>113</v>
      </c>
      <c r="K41" s="164">
        <v>6840</v>
      </c>
      <c r="L41" s="164">
        <v>4560</v>
      </c>
      <c r="M41" s="169">
        <f>L41/4</f>
        <v>1140</v>
      </c>
      <c r="N41" s="162">
        <f>SUM(K41+M41)</f>
        <v>7980</v>
      </c>
      <c r="O41" s="160">
        <v>366.75</v>
      </c>
      <c r="P41" s="123">
        <f>N41/O41</f>
        <v>21.75869120654397</v>
      </c>
      <c r="Q41" s="140">
        <f>(O41-125.75)*(16.44)+(O41-124.75)*(73%*8.22)+(124.75*11.25)</f>
        <v>6817.622700000001</v>
      </c>
      <c r="R41" s="128">
        <f>Q41/(K41*1.96+L41*1.36)</f>
        <v>0.347695976132191</v>
      </c>
    </row>
    <row r="42" spans="1:18" ht="15.75" thickBot="1">
      <c r="A42" s="101" t="s">
        <v>99</v>
      </c>
      <c r="B42" s="175">
        <v>6135</v>
      </c>
      <c r="C42" s="188">
        <v>5164</v>
      </c>
      <c r="D42" s="169">
        <f t="shared" si="0"/>
        <v>1291</v>
      </c>
      <c r="E42" s="173">
        <f t="shared" si="8"/>
        <v>7426</v>
      </c>
      <c r="F42" s="163">
        <v>362.75</v>
      </c>
      <c r="G42" s="123">
        <f t="shared" si="2"/>
        <v>20.471399035148174</v>
      </c>
      <c r="H42" s="182">
        <f>(F42-37.75)*(16.44)+(F42-7.75)*(73%*8.22)+(7.75*11.25)+103.13</f>
        <v>7663.5305</v>
      </c>
      <c r="I42" s="130">
        <f t="shared" si="1"/>
        <v>0.38017706105028465</v>
      </c>
      <c r="J42" s="102" t="s">
        <v>69</v>
      </c>
      <c r="K42" s="164">
        <v>6190</v>
      </c>
      <c r="L42" s="164">
        <v>5800</v>
      </c>
      <c r="M42" s="169">
        <f aca="true" t="shared" si="9" ref="M42:M47">L42/4</f>
        <v>1450</v>
      </c>
      <c r="N42" s="162">
        <f>SUM(K42+M42)</f>
        <v>7640</v>
      </c>
      <c r="O42" s="160">
        <v>319.05</v>
      </c>
      <c r="P42" s="123">
        <f aca="true" t="shared" si="10" ref="P42:P47">N42/O42</f>
        <v>23.946089954552576</v>
      </c>
      <c r="Q42" s="140">
        <f>(O42-48.25)*(16.44)+(O42-48.25)*(73%*8.22)+(48.25*11.25)+297</f>
        <v>6916.72698</v>
      </c>
      <c r="R42" s="128">
        <f aca="true" t="shared" si="11" ref="R42:R47">Q42/(K42*1.96+L42*1.36)</f>
        <v>0.3454839553655272</v>
      </c>
    </row>
    <row r="43" spans="1:18" ht="15.75" thickBot="1">
      <c r="A43" s="104" t="s">
        <v>100</v>
      </c>
      <c r="B43" s="175">
        <v>5269</v>
      </c>
      <c r="C43" s="188">
        <v>4704</v>
      </c>
      <c r="D43" s="169">
        <f t="shared" si="0"/>
        <v>1176</v>
      </c>
      <c r="E43" s="173">
        <f t="shared" si="8"/>
        <v>6445</v>
      </c>
      <c r="F43" s="163">
        <v>318</v>
      </c>
      <c r="G43" s="123">
        <f t="shared" si="2"/>
        <v>20.267295597484278</v>
      </c>
      <c r="H43" s="182">
        <f>(F43-92.25)*(16.44)+(F43-92.25)*(73%*8.22)+(92.25*11.25)</f>
        <v>6103.777950000001</v>
      </c>
      <c r="I43" s="130">
        <f t="shared" si="1"/>
        <v>0.34492656611314754</v>
      </c>
      <c r="J43" s="101" t="s">
        <v>116</v>
      </c>
      <c r="K43" s="164">
        <v>6325</v>
      </c>
      <c r="L43" s="164">
        <v>4314</v>
      </c>
      <c r="M43" s="169">
        <f t="shared" si="9"/>
        <v>1078.5</v>
      </c>
      <c r="N43" s="162">
        <f>SUM(K43+M43)</f>
        <v>7403.5</v>
      </c>
      <c r="O43" s="160">
        <v>304.5</v>
      </c>
      <c r="P43" s="123">
        <f t="shared" si="10"/>
        <v>24.313628899835795</v>
      </c>
      <c r="Q43" s="140">
        <f>(O43-2.25)*(16.44)+(O43-2.25)*(73%*8.22)+(2.25*11.25)+314</f>
        <v>7121.9838500000005</v>
      </c>
      <c r="R43" s="128">
        <f t="shared" si="11"/>
        <v>0.38994569930858675</v>
      </c>
    </row>
    <row r="44" spans="1:18" ht="15.75" thickBot="1">
      <c r="A44" s="102" t="s">
        <v>59</v>
      </c>
      <c r="B44" s="175">
        <v>10504</v>
      </c>
      <c r="C44" s="188">
        <v>4965</v>
      </c>
      <c r="D44" s="169">
        <f>C44/2</f>
        <v>2482.5</v>
      </c>
      <c r="E44" s="173">
        <f t="shared" si="8"/>
        <v>12986.5</v>
      </c>
      <c r="F44" s="163">
        <v>870.25</v>
      </c>
      <c r="G44" s="123">
        <f t="shared" si="2"/>
        <v>14.922723355357656</v>
      </c>
      <c r="H44" s="182">
        <f>(F44-154.75)*(16.44)+(F44-154.75)*(73%*8.22)+(154.75*11.25)</f>
        <v>17797.186800000003</v>
      </c>
      <c r="I44" s="130">
        <f t="shared" si="1"/>
        <v>0.6140109020584886</v>
      </c>
      <c r="J44" s="101" t="s">
        <v>72</v>
      </c>
      <c r="K44" s="164">
        <v>4750</v>
      </c>
      <c r="L44" s="164">
        <v>1140</v>
      </c>
      <c r="M44" s="169">
        <f t="shared" si="9"/>
        <v>285</v>
      </c>
      <c r="N44" s="162">
        <f>SUM(K44+M44)</f>
        <v>5035</v>
      </c>
      <c r="O44" s="163">
        <v>261.75</v>
      </c>
      <c r="P44" s="123">
        <f t="shared" si="10"/>
        <v>19.23591212989494</v>
      </c>
      <c r="Q44" s="140">
        <f>(O44-60.75)*(16.44)+(O44-60.75)*(73%*8.22)+(60.75*11.25)</f>
        <v>5193.9981</v>
      </c>
      <c r="R44" s="128">
        <f t="shared" si="11"/>
        <v>0.4782510865161504</v>
      </c>
    </row>
    <row r="45" spans="1:18" ht="15.75" thickBot="1">
      <c r="A45" s="101" t="s">
        <v>102</v>
      </c>
      <c r="B45" s="175">
        <v>7839</v>
      </c>
      <c r="C45" s="188">
        <v>5968</v>
      </c>
      <c r="D45" s="169">
        <f t="shared" si="0"/>
        <v>1492</v>
      </c>
      <c r="E45" s="173">
        <f t="shared" si="8"/>
        <v>9331</v>
      </c>
      <c r="F45" s="163">
        <v>443.75</v>
      </c>
      <c r="G45" s="123">
        <f t="shared" si="2"/>
        <v>21.027605633802818</v>
      </c>
      <c r="H45" s="182">
        <f>(F45-21.75)*(16.44)+(F45-21.75)*(73%*8.22)+(21.75*11.25)+340.31</f>
        <v>10054.930699999999</v>
      </c>
      <c r="I45" s="130">
        <f t="shared" si="1"/>
        <v>0.40449771002834495</v>
      </c>
      <c r="J45" s="102" t="s">
        <v>70</v>
      </c>
      <c r="K45" s="164">
        <v>3801</v>
      </c>
      <c r="L45" s="164">
        <v>3721</v>
      </c>
      <c r="M45" s="169">
        <f t="shared" si="9"/>
        <v>930.25</v>
      </c>
      <c r="N45" s="162">
        <f>SUM(K45+M45)</f>
        <v>4731.25</v>
      </c>
      <c r="O45" s="160">
        <v>148.5</v>
      </c>
      <c r="P45" s="123">
        <f t="shared" si="10"/>
        <v>31.86026936026936</v>
      </c>
      <c r="Q45" s="140">
        <f>(O45-44)*(16.44)+(O45-44)*(73%*8.22)+(44*11.25)+213</f>
        <v>3053.0427000000004</v>
      </c>
      <c r="R45" s="128">
        <f t="shared" si="11"/>
        <v>0.2440380335909299</v>
      </c>
    </row>
    <row r="46" spans="1:18" ht="15.75" thickBot="1">
      <c r="A46" s="101" t="s">
        <v>72</v>
      </c>
      <c r="B46" s="175">
        <v>2559</v>
      </c>
      <c r="C46" s="188">
        <v>718</v>
      </c>
      <c r="D46" s="169">
        <v>1311</v>
      </c>
      <c r="E46" s="173">
        <f t="shared" si="8"/>
        <v>3870</v>
      </c>
      <c r="F46" s="163">
        <v>293.75</v>
      </c>
      <c r="G46" s="123">
        <f t="shared" si="2"/>
        <v>13.174468085106383</v>
      </c>
      <c r="H46" s="182">
        <f>(F46-69)*(16.44)+(F46-69)*(73%*8.22)+(69*11.25)</f>
        <v>5819.774850000001</v>
      </c>
      <c r="I46" s="130">
        <f t="shared" si="1"/>
        <v>0.9150004419528778</v>
      </c>
      <c r="J46" s="101" t="s">
        <v>110</v>
      </c>
      <c r="K46" s="164">
        <v>3121</v>
      </c>
      <c r="L46" s="164">
        <v>3172</v>
      </c>
      <c r="M46" s="169">
        <f t="shared" si="9"/>
        <v>793</v>
      </c>
      <c r="N46" s="162">
        <f>SUM(K46+M46)</f>
        <v>3914</v>
      </c>
      <c r="O46" s="160">
        <v>182.5</v>
      </c>
      <c r="P46" s="123">
        <f t="shared" si="10"/>
        <v>21.446575342465753</v>
      </c>
      <c r="Q46" s="140">
        <f>(O46-23.5)*(16.44)+(O46-23.5)*(73%*8.22)+(23.5*11.25)+116</f>
        <v>3948.4304</v>
      </c>
      <c r="R46" s="128">
        <f t="shared" si="11"/>
        <v>0.3785255601529276</v>
      </c>
    </row>
    <row r="47" spans="1:18" ht="15.75" thickBot="1">
      <c r="A47" s="101" t="s">
        <v>58</v>
      </c>
      <c r="B47" s="175">
        <v>3384</v>
      </c>
      <c r="C47" s="188">
        <v>3297</v>
      </c>
      <c r="D47" s="169">
        <f t="shared" si="0"/>
        <v>824.25</v>
      </c>
      <c r="E47" s="173">
        <f t="shared" si="8"/>
        <v>4208.25</v>
      </c>
      <c r="F47" s="163">
        <v>148.25</v>
      </c>
      <c r="G47" s="123">
        <f t="shared" si="2"/>
        <v>28.386172006745362</v>
      </c>
      <c r="H47" s="182">
        <f>(F47-65.25)*(16.44)+(F47-65.25)*(73%*8.22)+(65.25*11.25)</f>
        <v>2596.6323</v>
      </c>
      <c r="I47" s="130">
        <f t="shared" si="1"/>
        <v>0.22082994047309853</v>
      </c>
      <c r="J47" s="102" t="s">
        <v>121</v>
      </c>
      <c r="K47" s="164">
        <v>2423</v>
      </c>
      <c r="L47" s="164">
        <v>1681</v>
      </c>
      <c r="M47" s="169">
        <f t="shared" si="9"/>
        <v>420.25</v>
      </c>
      <c r="N47" s="162">
        <f>SUM(K47+M47)</f>
        <v>2843.25</v>
      </c>
      <c r="O47" s="160">
        <v>243</v>
      </c>
      <c r="P47" s="123">
        <f t="shared" si="10"/>
        <v>11.700617283950617</v>
      </c>
      <c r="Q47" s="140">
        <f>(O47-15)*(16.44)+(O47-15)*(73%*8.22)+(15*11.25)+264</f>
        <v>5549.2068</v>
      </c>
      <c r="R47" s="128">
        <f t="shared" si="11"/>
        <v>0.7887729203268119</v>
      </c>
    </row>
    <row r="48" spans="1:18" ht="15.75" thickBot="1">
      <c r="A48" s="125"/>
      <c r="B48" s="190">
        <f>SUM(B2:B47)</f>
        <v>218685</v>
      </c>
      <c r="C48" s="190">
        <f>SUM(C2:C47)</f>
        <v>168356</v>
      </c>
      <c r="D48" s="190">
        <f>SUM(D2:D47)</f>
        <v>54775</v>
      </c>
      <c r="E48" s="189">
        <f>SUM(E2:E47)</f>
        <v>273460</v>
      </c>
      <c r="F48" s="241">
        <f>SUM(F2:F47)</f>
        <v>14095.25</v>
      </c>
      <c r="G48" s="123"/>
      <c r="H48" s="251">
        <f>SUM(H2:H47)</f>
        <v>296207.0101</v>
      </c>
      <c r="I48" s="210">
        <f>H48/D50</f>
        <v>0.4110020621500184</v>
      </c>
      <c r="J48" s="102"/>
      <c r="K48" s="164"/>
      <c r="L48" s="164"/>
      <c r="M48" s="169"/>
      <c r="N48" s="162"/>
      <c r="O48" s="118"/>
      <c r="P48" s="123"/>
      <c r="Q48" s="140"/>
      <c r="R48" s="128"/>
    </row>
    <row r="49" spans="1:18" ht="17.25" customHeight="1">
      <c r="A49" s="202" t="s">
        <v>82</v>
      </c>
      <c r="B49" s="190"/>
      <c r="C49" s="190"/>
      <c r="D49" s="190"/>
      <c r="E49" s="189"/>
      <c r="F49" s="192"/>
      <c r="G49" s="201"/>
      <c r="H49" s="253">
        <v>63091.45</v>
      </c>
      <c r="I49" s="130" t="e">
        <f>H49/(B49*2.085+C49*1.425)</f>
        <v>#DIV/0!</v>
      </c>
      <c r="J49" s="102"/>
      <c r="K49" s="164"/>
      <c r="L49" s="164"/>
      <c r="M49" s="169"/>
      <c r="N49" s="162"/>
      <c r="O49" s="118"/>
      <c r="P49" s="123"/>
      <c r="Q49" s="140"/>
      <c r="R49" s="128"/>
    </row>
    <row r="50" spans="1:18" ht="15.75" thickBot="1">
      <c r="A50" s="84" t="s">
        <v>49</v>
      </c>
      <c r="B50" s="219">
        <f>B48*2.19084</f>
        <v>479103.84540000005</v>
      </c>
      <c r="C50" s="219">
        <f>C48*1.435</f>
        <v>241590.86000000002</v>
      </c>
      <c r="D50" s="219">
        <f>SUM(B50:C50)</f>
        <v>720694.7054000001</v>
      </c>
      <c r="E50" s="220"/>
      <c r="F50" s="114"/>
      <c r="G50" s="115"/>
      <c r="H50" s="252">
        <f>SUM(H48:H49)</f>
        <v>359298.4601</v>
      </c>
      <c r="I50" s="211">
        <f>H50/D50</f>
        <v>0.4985446089833311</v>
      </c>
      <c r="J50" s="141" t="s">
        <v>78</v>
      </c>
      <c r="K50" s="164"/>
      <c r="L50" s="164"/>
      <c r="M50" s="171"/>
      <c r="N50" s="166"/>
      <c r="O50" s="153"/>
      <c r="P50" s="20"/>
      <c r="Q50" s="20"/>
      <c r="R50" s="20"/>
    </row>
    <row r="51" spans="6:18" ht="15">
      <c r="F51" s="243">
        <f>F48+F52</f>
        <v>16093</v>
      </c>
      <c r="J51" s="102" t="s">
        <v>97</v>
      </c>
      <c r="K51" s="164">
        <v>4160</v>
      </c>
      <c r="L51" s="164">
        <v>1995</v>
      </c>
      <c r="M51" s="169">
        <f>L51/4</f>
        <v>498.75</v>
      </c>
      <c r="N51" s="162">
        <f>SUM(K51+M51)</f>
        <v>4658.75</v>
      </c>
      <c r="O51" s="163">
        <v>138.8</v>
      </c>
      <c r="P51" s="123">
        <f>N51/O51</f>
        <v>33.56448126801153</v>
      </c>
      <c r="Q51" s="140">
        <f>(O51-20)*(16.44)+(O51-20)*(73%*8.22)+(20*11.25)+116</f>
        <v>3006.9432800000004</v>
      </c>
      <c r="R51" s="128">
        <f>Q51/(K51*1.96+L51*1.36)</f>
        <v>0.2767091765745206</v>
      </c>
    </row>
    <row r="52" spans="1:18" ht="15.75" thickBot="1">
      <c r="A52" s="101" t="s">
        <v>137</v>
      </c>
      <c r="B52" s="7"/>
      <c r="C52" s="7"/>
      <c r="D52" s="7"/>
      <c r="E52" s="12">
        <v>275742</v>
      </c>
      <c r="F52" s="245">
        <v>1997.75</v>
      </c>
      <c r="G52" s="11"/>
      <c r="H52" s="60"/>
      <c r="I52" s="246"/>
      <c r="J52" s="102" t="s">
        <v>98</v>
      </c>
      <c r="K52" s="164">
        <v>7225</v>
      </c>
      <c r="L52" s="164">
        <v>6762</v>
      </c>
      <c r="M52" s="169">
        <f>L52/4</f>
        <v>1690.5</v>
      </c>
      <c r="N52" s="162">
        <f>SUM(K52+M52)</f>
        <v>8915.5</v>
      </c>
      <c r="O52" s="163">
        <v>212.75</v>
      </c>
      <c r="P52" s="123">
        <f>N52/O52</f>
        <v>41.90599294947121</v>
      </c>
      <c r="Q52" s="140">
        <f>(O52-91.75)*(16.44)+(O52-91.75)*(73%*8.22)+(91.75*11.25)+186</f>
        <v>3933.5001</v>
      </c>
      <c r="R52" s="128">
        <f>Q52/(K52*1.96+L52*1.36)</f>
        <v>0.1684054549066417</v>
      </c>
    </row>
    <row r="53" spans="1:18" ht="18.75" thickBot="1">
      <c r="A53" s="91" t="s">
        <v>50</v>
      </c>
      <c r="B53" s="75"/>
      <c r="C53" s="248" t="s">
        <v>17</v>
      </c>
      <c r="D53" s="75" t="s">
        <v>18</v>
      </c>
      <c r="F53" s="250">
        <f>E48/F51</f>
        <v>16.992481203007518</v>
      </c>
      <c r="H53" s="203"/>
      <c r="I53" s="75"/>
      <c r="J53" s="101" t="s">
        <v>58</v>
      </c>
      <c r="K53" s="164">
        <v>3690</v>
      </c>
      <c r="L53" s="164">
        <v>3551</v>
      </c>
      <c r="M53" s="169">
        <f>L53/4</f>
        <v>887.75</v>
      </c>
      <c r="N53" s="162">
        <f>SUM(K53+M53)</f>
        <v>4577.75</v>
      </c>
      <c r="O53" s="163">
        <v>179.25</v>
      </c>
      <c r="P53" s="123">
        <f>N53/O53</f>
        <v>25.538354253835426</v>
      </c>
      <c r="Q53" s="140">
        <f>(O53-85.75)*(16.44)+(O53-85.75)*(73%*8.22)+(85.75*11.25)+129</f>
        <v>3191.8836</v>
      </c>
      <c r="R53" s="128">
        <f>Q53/(K53*1.96+L53*1.36)</f>
        <v>0.2646283461120102</v>
      </c>
    </row>
    <row r="54" spans="1:18" ht="15">
      <c r="A54" s="214" t="s">
        <v>51</v>
      </c>
      <c r="J54" s="101" t="s">
        <v>73</v>
      </c>
      <c r="K54" s="164">
        <v>3912</v>
      </c>
      <c r="L54" s="164">
        <v>2253</v>
      </c>
      <c r="M54" s="169">
        <f>L54/4</f>
        <v>563.25</v>
      </c>
      <c r="N54" s="162">
        <f>SUM(K54+M54)</f>
        <v>4475.25</v>
      </c>
      <c r="O54" s="160">
        <v>332.25</v>
      </c>
      <c r="P54" s="123">
        <f>N54/O54</f>
        <v>13.469525959367946</v>
      </c>
      <c r="Q54" s="140">
        <f>(O54*16.44)+(O54*73%*8.22)</f>
        <v>7455.88935</v>
      </c>
      <c r="R54" s="128">
        <f>Q54/(K54*1.96+L54*1.36)</f>
        <v>0.6947602733981886</v>
      </c>
    </row>
    <row r="55" spans="1:18" ht="15">
      <c r="A55" s="215" t="s">
        <v>0</v>
      </c>
      <c r="J55" s="102" t="s">
        <v>114</v>
      </c>
      <c r="K55" s="164">
        <v>0</v>
      </c>
      <c r="L55" s="164">
        <v>0</v>
      </c>
      <c r="M55" s="169">
        <f>L55/4</f>
        <v>0</v>
      </c>
      <c r="N55" s="162">
        <v>0</v>
      </c>
      <c r="O55" s="133">
        <v>0</v>
      </c>
      <c r="P55" s="123">
        <v>0</v>
      </c>
      <c r="Q55" s="152">
        <v>0</v>
      </c>
      <c r="R55" s="128">
        <v>0</v>
      </c>
    </row>
    <row r="56" spans="1:18" ht="15">
      <c r="A56" s="214" t="s">
        <v>53</v>
      </c>
      <c r="J56" s="154"/>
      <c r="K56" s="155">
        <f>SUM(K3:K55)</f>
        <v>240481</v>
      </c>
      <c r="L56" s="155">
        <f>SUM(L3:L55)</f>
        <v>187510</v>
      </c>
      <c r="M56" s="172">
        <f>SUM(M3:M55)</f>
        <v>56714</v>
      </c>
      <c r="N56" s="155">
        <f>SUM(N3:N55)</f>
        <v>297195</v>
      </c>
      <c r="O56" s="156">
        <f>SUM(O3:O55)</f>
        <v>14287.249999999996</v>
      </c>
      <c r="P56" s="48"/>
      <c r="Q56" s="157">
        <f>SUM(Q3:Q55)</f>
        <v>309639.59755000006</v>
      </c>
      <c r="R56" s="48"/>
    </row>
    <row r="57" spans="1:18" ht="15.75" thickBot="1">
      <c r="A57" s="214" t="s">
        <v>57</v>
      </c>
      <c r="B57" s="92"/>
      <c r="C57" s="92"/>
      <c r="J57" s="158"/>
      <c r="K57" s="112">
        <f>K56*1.96</f>
        <v>471342.76</v>
      </c>
      <c r="L57" s="112">
        <f>L56*1.36</f>
        <v>255013.6</v>
      </c>
      <c r="M57" s="113">
        <f>SUM(K57:L57)</f>
        <v>726356.36</v>
      </c>
      <c r="N57" s="158"/>
      <c r="O57" s="158"/>
      <c r="P57" s="115">
        <f>N56/O56</f>
        <v>20.801413848011343</v>
      </c>
      <c r="Q57" s="158"/>
      <c r="R57" s="122">
        <f>Q56/M57</f>
        <v>0.42629157614865526</v>
      </c>
    </row>
    <row r="58" spans="1:10" ht="15.75" thickTop="1">
      <c r="A58" s="214" t="s">
        <v>65</v>
      </c>
      <c r="J58" s="93"/>
    </row>
    <row r="59" spans="1:10" ht="15">
      <c r="A59" s="214" t="s">
        <v>66</v>
      </c>
      <c r="H59" s="249"/>
      <c r="J59" s="92"/>
    </row>
    <row r="60" spans="1:12" ht="15">
      <c r="A60" s="212" t="s">
        <v>84</v>
      </c>
      <c r="J60" s="92"/>
      <c r="K60" s="92"/>
      <c r="L60" s="92"/>
    </row>
    <row r="61" spans="1:7" ht="15">
      <c r="A61" s="213" t="s">
        <v>1</v>
      </c>
      <c r="F61" s="49"/>
      <c r="G61" s="49"/>
    </row>
    <row r="62" spans="6:7" ht="15">
      <c r="F62" s="49"/>
      <c r="G62" s="49"/>
    </row>
    <row r="63" spans="6:7" ht="15">
      <c r="F63" s="49"/>
      <c r="G63" s="49"/>
    </row>
    <row r="64" spans="6:7" ht="15">
      <c r="F64" s="49"/>
      <c r="G64" s="49"/>
    </row>
  </sheetData>
  <printOptions/>
  <pageMargins left="0.020833333333333332" right="0" top="0.5" bottom="0.5" header="0.05" footer="0"/>
  <pageSetup horizontalDpi="600" verticalDpi="600" orientation="landscape"/>
  <headerFooter alignWithMargins="0">
    <oddHeader>&amp;C&amp;14Meals Per Lbor Hour Calculation Work Sheet&amp;"-,Bold"   DECEMBER  &amp;KFF00002012 -2013  SY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7"/>
  <sheetViews>
    <sheetView zoomScale="90" zoomScaleNormal="90" workbookViewId="0" topLeftCell="A30">
      <selection activeCell="H48" sqref="H48:H49"/>
    </sheetView>
  </sheetViews>
  <sheetFormatPr defaultColWidth="8.57421875" defaultRowHeight="15"/>
  <cols>
    <col min="1" max="1" width="36.28125" style="43" customWidth="1"/>
    <col min="2" max="2" width="9.7109375" style="43" customWidth="1"/>
    <col min="3" max="3" width="9.140625" style="43" customWidth="1"/>
    <col min="4" max="4" width="10.421875" style="43" customWidth="1"/>
    <col min="5" max="5" width="14.00390625" style="43" customWidth="1"/>
    <col min="6" max="6" width="11.28125" style="43" customWidth="1"/>
    <col min="7" max="7" width="13.140625" style="43" customWidth="1"/>
    <col min="8" max="8" width="15.140625" style="43" customWidth="1"/>
    <col min="9" max="9" width="11.57421875" style="43" customWidth="1"/>
    <col min="10" max="10" width="5.28125" style="43" customWidth="1"/>
    <col min="11" max="11" width="36.140625" style="43" customWidth="1"/>
    <col min="12" max="16" width="11.00390625" style="43" customWidth="1"/>
    <col min="17" max="17" width="13.7109375" style="43" customWidth="1"/>
    <col min="18" max="18" width="13.00390625" style="43" customWidth="1"/>
    <col min="19" max="19" width="11.00390625" style="43" customWidth="1"/>
    <col min="20" max="20" width="6.28125" style="43" customWidth="1"/>
    <col min="21" max="26" width="8.57421875" style="43" customWidth="1"/>
    <col min="27" max="27" width="11.8515625" style="43" customWidth="1"/>
    <col min="28" max="16384" width="8.57421875" style="43" customWidth="1"/>
  </cols>
  <sheetData>
    <row r="1" spans="1:19" ht="63.75" customHeight="1" thickBot="1">
      <c r="A1" s="68" t="s">
        <v>85</v>
      </c>
      <c r="B1" s="131" t="s">
        <v>87</v>
      </c>
      <c r="C1" s="131" t="s">
        <v>86</v>
      </c>
      <c r="D1" s="197" t="s">
        <v>80</v>
      </c>
      <c r="E1" s="198" t="s">
        <v>54</v>
      </c>
      <c r="F1" s="198" t="s">
        <v>96</v>
      </c>
      <c r="G1" s="71" t="s">
        <v>45</v>
      </c>
      <c r="H1" s="72" t="s">
        <v>48</v>
      </c>
      <c r="I1" s="72" t="s">
        <v>47</v>
      </c>
      <c r="J1" s="199"/>
      <c r="K1" s="2" t="s">
        <v>85</v>
      </c>
      <c r="L1" s="73" t="s">
        <v>87</v>
      </c>
      <c r="M1" s="73" t="s">
        <v>86</v>
      </c>
      <c r="N1" s="73" t="s">
        <v>79</v>
      </c>
      <c r="O1" s="1" t="s">
        <v>54</v>
      </c>
      <c r="P1" s="1" t="s">
        <v>96</v>
      </c>
      <c r="Q1" s="4" t="s">
        <v>45</v>
      </c>
      <c r="R1" s="58" t="s">
        <v>48</v>
      </c>
      <c r="S1" s="58" t="s">
        <v>47</v>
      </c>
    </row>
    <row r="2" spans="1:19" ht="15.75" thickBot="1">
      <c r="A2" s="103" t="s">
        <v>104</v>
      </c>
      <c r="B2" s="180">
        <v>6589</v>
      </c>
      <c r="C2" s="180">
        <v>5249</v>
      </c>
      <c r="D2" s="181">
        <f>C2/4</f>
        <v>1312.25</v>
      </c>
      <c r="E2" s="181">
        <f>SUM(B2+D2)</f>
        <v>7901.25</v>
      </c>
      <c r="F2" s="194">
        <v>390.75</v>
      </c>
      <c r="G2" s="126">
        <f>E2/F2</f>
        <v>20.220729366602686</v>
      </c>
      <c r="H2" s="182">
        <f>(F2-110)*(16.44)+(F2-110)*(73%*8.22)+(110*11.25)</f>
        <v>7537.698450000001</v>
      </c>
      <c r="I2" s="130">
        <f aca="true" t="shared" si="0" ref="I2:I32">H2/(B2*2.085+C2*1.425)</f>
        <v>0.3552520278877872</v>
      </c>
      <c r="J2" s="200"/>
      <c r="K2" s="142" t="s">
        <v>2</v>
      </c>
      <c r="L2" s="48"/>
      <c r="M2" s="48"/>
      <c r="N2" s="48"/>
      <c r="O2" s="48"/>
      <c r="P2" s="48"/>
      <c r="Q2" s="48"/>
      <c r="R2" s="48"/>
      <c r="S2" s="48"/>
    </row>
    <row r="3" spans="1:19" ht="15.75" thickBot="1">
      <c r="A3" s="101" t="s">
        <v>105</v>
      </c>
      <c r="B3" s="164">
        <v>7154</v>
      </c>
      <c r="C3" s="164">
        <v>6177</v>
      </c>
      <c r="D3" s="159">
        <f aca="true" t="shared" si="1" ref="D3:D47">C3/4</f>
        <v>1544.25</v>
      </c>
      <c r="E3" s="181">
        <f>SUM(B3+D3)</f>
        <v>8698.25</v>
      </c>
      <c r="F3" s="195">
        <v>343.75</v>
      </c>
      <c r="G3" s="123">
        <f>E3/F3</f>
        <v>25.304</v>
      </c>
      <c r="H3" s="182">
        <f>(F3-108.75)*(16.44)+(F3-108.75)*(73%*8.22)+(108.75*11.25)+391.88</f>
        <v>6888.8585</v>
      </c>
      <c r="I3" s="130">
        <f t="shared" si="0"/>
        <v>0.29044468378128885</v>
      </c>
      <c r="J3" s="200"/>
      <c r="K3" s="102" t="s">
        <v>59</v>
      </c>
      <c r="L3" s="188">
        <v>15499</v>
      </c>
      <c r="M3" s="188">
        <v>7279</v>
      </c>
      <c r="N3" s="169">
        <f aca="true" t="shared" si="2" ref="N3:N8">M3/2</f>
        <v>3639.5</v>
      </c>
      <c r="O3" s="173">
        <f>SUM(L3+N3)</f>
        <v>19138.5</v>
      </c>
      <c r="P3" s="163">
        <v>1262.75</v>
      </c>
      <c r="Q3" s="123">
        <f>O3/P3</f>
        <v>15.15620669174421</v>
      </c>
      <c r="R3" s="182">
        <f>(P3-218.25)*(16.44)+(P3-218.25)*(73%*8.22)+(218.25*11.25)</f>
        <v>25894.519200000002</v>
      </c>
      <c r="S3" s="130">
        <f aca="true" t="shared" si="3" ref="S3:S8">R3/(L3*2.085+M3*1.425)</f>
        <v>0.6065996361037378</v>
      </c>
    </row>
    <row r="4" spans="1:19" ht="15.75" thickBot="1">
      <c r="A4" s="102" t="s">
        <v>106</v>
      </c>
      <c r="B4" s="164">
        <v>6756</v>
      </c>
      <c r="C4" s="164">
        <v>6778</v>
      </c>
      <c r="D4" s="159">
        <f t="shared" si="1"/>
        <v>1694.5</v>
      </c>
      <c r="E4" s="181">
        <f>SUM(B4+D4)</f>
        <v>8450.5</v>
      </c>
      <c r="F4" s="196">
        <v>389</v>
      </c>
      <c r="G4" s="123">
        <f aca="true" t="shared" si="4" ref="G4:G47">E4/F4</f>
        <v>21.723650385604113</v>
      </c>
      <c r="H4" s="182">
        <f>(F4-25)*(16.44)+(F4-25)*(73%*8.22)+(31.5*11.25)</f>
        <v>8522.753400000001</v>
      </c>
      <c r="I4" s="130">
        <f t="shared" si="0"/>
        <v>0.3589296990386572</v>
      </c>
      <c r="J4" s="200"/>
      <c r="K4" s="102" t="s">
        <v>126</v>
      </c>
      <c r="L4" s="164">
        <v>10782</v>
      </c>
      <c r="M4" s="164">
        <v>4191</v>
      </c>
      <c r="N4" s="159">
        <f t="shared" si="2"/>
        <v>2095.5</v>
      </c>
      <c r="O4" s="181">
        <f>SUM(L4+N4)</f>
        <v>12877.5</v>
      </c>
      <c r="P4" s="195">
        <v>872.5</v>
      </c>
      <c r="Q4" s="123">
        <f>O4/P4</f>
        <v>14.759312320916905</v>
      </c>
      <c r="R4" s="182">
        <f>(P4-13.5)*(16.44)+(P4-13.5)*(73%*8.22)+(13.5*11.25)</f>
        <v>19428.350400000003</v>
      </c>
      <c r="S4" s="130">
        <f t="shared" si="3"/>
        <v>0.682831083015305</v>
      </c>
    </row>
    <row r="5" spans="1:19" ht="15.75" thickBot="1">
      <c r="A5" s="102" t="s">
        <v>107</v>
      </c>
      <c r="B5" s="164">
        <v>4846</v>
      </c>
      <c r="C5" s="164">
        <v>1651</v>
      </c>
      <c r="D5" s="159">
        <f t="shared" si="1"/>
        <v>412.75</v>
      </c>
      <c r="E5" s="181">
        <f>SUM(B5+D5)</f>
        <v>5258.75</v>
      </c>
      <c r="F5" s="195">
        <v>528.75</v>
      </c>
      <c r="G5" s="123">
        <f t="shared" si="4"/>
        <v>9.94562647754137</v>
      </c>
      <c r="H5" s="182">
        <f>(F5-11.25)*(16.44)+(F5-11.25)*(73%*8.22)+(11.25*11.25)</f>
        <v>11739.573</v>
      </c>
      <c r="I5" s="130">
        <f t="shared" si="0"/>
        <v>0.9424391195500212</v>
      </c>
      <c r="J5" s="200"/>
      <c r="K5" s="102" t="s">
        <v>133</v>
      </c>
      <c r="L5" s="164">
        <v>7479</v>
      </c>
      <c r="M5" s="164">
        <v>1666</v>
      </c>
      <c r="N5" s="159">
        <f t="shared" si="2"/>
        <v>833</v>
      </c>
      <c r="O5" s="181">
        <f>SUM(L5+N5)</f>
        <v>8312</v>
      </c>
      <c r="P5" s="195">
        <v>725.75</v>
      </c>
      <c r="Q5" s="123">
        <f>O5/P5</f>
        <v>11.452979676197037</v>
      </c>
      <c r="R5" s="182">
        <f>(P5-108)*(16.44)+(P5-108)*(73%*8.22)+(108*11.25)</f>
        <v>15077.680650000002</v>
      </c>
      <c r="S5" s="130">
        <f t="shared" si="3"/>
        <v>0.8391517058465536</v>
      </c>
    </row>
    <row r="6" spans="1:19" ht="15.75" thickBot="1">
      <c r="A6" s="102" t="s">
        <v>108</v>
      </c>
      <c r="B6" s="164">
        <v>8538</v>
      </c>
      <c r="C6" s="164">
        <v>8001</v>
      </c>
      <c r="D6" s="159">
        <f t="shared" si="1"/>
        <v>2000.25</v>
      </c>
      <c r="E6" s="181">
        <f>SUM(B6+D6)</f>
        <v>10538.25</v>
      </c>
      <c r="F6" s="195">
        <v>393.5</v>
      </c>
      <c r="G6" s="123">
        <f t="shared" si="4"/>
        <v>26.780813214739517</v>
      </c>
      <c r="H6" s="182">
        <f>(F6-3.75)*(16.44)+(F6-3.755)*(73%*8.22)+(3.755*11.25)+381.56</f>
        <v>9169.997597</v>
      </c>
      <c r="I6" s="130">
        <f t="shared" si="0"/>
        <v>0.3140070857754924</v>
      </c>
      <c r="J6" s="200"/>
      <c r="K6" s="102" t="s">
        <v>136</v>
      </c>
      <c r="L6" s="164">
        <v>7208</v>
      </c>
      <c r="M6" s="164">
        <v>1879</v>
      </c>
      <c r="N6" s="159">
        <f t="shared" si="2"/>
        <v>939.5</v>
      </c>
      <c r="O6" s="181">
        <f>SUM(L6+N6)</f>
        <v>8147.5</v>
      </c>
      <c r="P6" s="195">
        <v>612.75</v>
      </c>
      <c r="Q6" s="123">
        <f>O6/P6</f>
        <v>13.296613627090982</v>
      </c>
      <c r="R6" s="182">
        <f>(P6-59.5)*(16.44)+(P6-59.5)*(73%*8.22)+(59.5*11.25)</f>
        <v>13084.63695</v>
      </c>
      <c r="S6" s="130">
        <f t="shared" si="3"/>
        <v>0.7389838760370275</v>
      </c>
    </row>
    <row r="7" spans="1:19" ht="15.75" thickBot="1">
      <c r="A7" s="101" t="s">
        <v>109</v>
      </c>
      <c r="B7" s="164">
        <v>6396</v>
      </c>
      <c r="C7" s="164">
        <v>5463</v>
      </c>
      <c r="D7" s="159">
        <f t="shared" si="1"/>
        <v>1365.75</v>
      </c>
      <c r="E7" s="181">
        <f aca="true" t="shared" si="5" ref="E7:E14">SUM(B7+D7)</f>
        <v>7761.75</v>
      </c>
      <c r="F7" s="195">
        <v>365</v>
      </c>
      <c r="G7" s="123">
        <f t="shared" si="4"/>
        <v>21.265068493150686</v>
      </c>
      <c r="H7" s="182">
        <f>(F7-57)*(16.44)+(F7-57)*(73%*8.22)+(57*11.25)+331.5</f>
        <v>7884.4548</v>
      </c>
      <c r="I7" s="130">
        <f t="shared" si="0"/>
        <v>0.3733092997374344</v>
      </c>
      <c r="J7" s="200"/>
      <c r="K7" s="102" t="s">
        <v>135</v>
      </c>
      <c r="L7" s="164">
        <v>3046</v>
      </c>
      <c r="M7" s="164">
        <v>1301</v>
      </c>
      <c r="N7" s="159">
        <f t="shared" si="2"/>
        <v>650.5</v>
      </c>
      <c r="O7" s="181">
        <f>SUM(L7+N7)</f>
        <v>3696.5</v>
      </c>
      <c r="P7" s="195">
        <v>573</v>
      </c>
      <c r="Q7" s="123">
        <f>O7/P7</f>
        <v>6.451134380453752</v>
      </c>
      <c r="R7" s="182">
        <f>(P7-27)*(16.44)+(P7-27)*(73%*8.22)+(27*11.25)</f>
        <v>12556.317600000002</v>
      </c>
      <c r="S7" s="130">
        <f t="shared" si="3"/>
        <v>1.5303558938113933</v>
      </c>
    </row>
    <row r="8" spans="1:19" ht="15.75" thickBot="1">
      <c r="A8" s="102" t="s">
        <v>68</v>
      </c>
      <c r="B8" s="164">
        <v>7205</v>
      </c>
      <c r="C8" s="164">
        <v>5905</v>
      </c>
      <c r="D8" s="159">
        <f t="shared" si="1"/>
        <v>1476.25</v>
      </c>
      <c r="E8" s="181">
        <f t="shared" si="5"/>
        <v>8681.25</v>
      </c>
      <c r="F8" s="195">
        <v>407.25</v>
      </c>
      <c r="G8" s="123">
        <f t="shared" si="4"/>
        <v>21.316758747697975</v>
      </c>
      <c r="H8" s="182">
        <f>(F8*16.44)+(F8*73%*8.22)+173.25</f>
        <v>9312.184350000001</v>
      </c>
      <c r="I8" s="130">
        <f t="shared" si="0"/>
        <v>0.3973274942878904</v>
      </c>
      <c r="J8" s="200"/>
      <c r="K8" s="102" t="s">
        <v>129</v>
      </c>
      <c r="L8" s="187">
        <v>3087</v>
      </c>
      <c r="M8" s="187">
        <v>765</v>
      </c>
      <c r="N8" s="173">
        <f t="shared" si="2"/>
        <v>382.5</v>
      </c>
      <c r="O8" s="173">
        <f>SUM(L8+N8)</f>
        <v>3469.5</v>
      </c>
      <c r="P8" s="193">
        <v>337.75</v>
      </c>
      <c r="Q8" s="126">
        <f>O8/P8</f>
        <v>10.27239082161362</v>
      </c>
      <c r="R8" s="182">
        <f>(P8-0.1)*(16.44)+(P8-0.1)*(73%*8.22)+(0.1*11.25)</f>
        <v>7578.193590000001</v>
      </c>
      <c r="S8" s="130">
        <f t="shared" si="3"/>
        <v>1.0068655354665903</v>
      </c>
    </row>
    <row r="9" spans="1:19" ht="15.75" thickBot="1">
      <c r="A9" s="101" t="s">
        <v>110</v>
      </c>
      <c r="B9" s="164">
        <v>3085</v>
      </c>
      <c r="C9" s="164">
        <v>2807</v>
      </c>
      <c r="D9" s="159">
        <f t="shared" si="1"/>
        <v>701.75</v>
      </c>
      <c r="E9" s="181">
        <f t="shared" si="5"/>
        <v>3786.75</v>
      </c>
      <c r="F9" s="195">
        <v>203.5</v>
      </c>
      <c r="G9" s="123">
        <f t="shared" si="4"/>
        <v>18.60810810810811</v>
      </c>
      <c r="H9" s="182">
        <f>(F9-50.5)*(16.44)+(F9-59.5)*(73%*8.22)+(59.5*11.25)</f>
        <v>4048.7814000000003</v>
      </c>
      <c r="I9" s="130">
        <f t="shared" si="0"/>
        <v>0.3881042733076437</v>
      </c>
      <c r="J9" s="200"/>
      <c r="K9" s="102" t="s">
        <v>132</v>
      </c>
      <c r="L9" s="164">
        <v>1915</v>
      </c>
      <c r="M9" s="164">
        <v>759</v>
      </c>
      <c r="N9" s="168">
        <v>379.5</v>
      </c>
      <c r="O9" s="118">
        <v>2294.5</v>
      </c>
      <c r="P9" s="159">
        <v>369.75</v>
      </c>
      <c r="Q9" s="11">
        <v>6.2055442866801895</v>
      </c>
      <c r="R9" s="140">
        <v>7525.260450000001</v>
      </c>
      <c r="S9" s="59">
        <v>1.4829998817582548</v>
      </c>
    </row>
    <row r="10" spans="1:19" ht="15.75" thickBot="1">
      <c r="A10" s="102" t="s">
        <v>111</v>
      </c>
      <c r="B10" s="164">
        <v>7211</v>
      </c>
      <c r="C10" s="164">
        <v>5877</v>
      </c>
      <c r="D10" s="159">
        <f t="shared" si="1"/>
        <v>1469.25</v>
      </c>
      <c r="E10" s="181">
        <f t="shared" si="5"/>
        <v>8680.25</v>
      </c>
      <c r="F10" s="195">
        <v>441.25</v>
      </c>
      <c r="G10" s="123">
        <f t="shared" si="4"/>
        <v>19.671954674220963</v>
      </c>
      <c r="H10" s="182">
        <f>(F10-10.25)*(16.44)+(F10-10.25)*(73%*8.22)+(10.25*11.25)</f>
        <v>9787.2111</v>
      </c>
      <c r="I10" s="130">
        <f t="shared" si="0"/>
        <v>0.4180842908440362</v>
      </c>
      <c r="J10" s="200"/>
      <c r="K10" s="142" t="s">
        <v>3</v>
      </c>
      <c r="L10" s="48"/>
      <c r="M10" s="48"/>
      <c r="N10" s="48"/>
      <c r="O10" s="48"/>
      <c r="P10" s="48"/>
      <c r="Q10" s="48"/>
      <c r="R10" s="48"/>
      <c r="S10" s="48"/>
    </row>
    <row r="11" spans="1:19" ht="15.75" thickBot="1">
      <c r="A11" s="101" t="s">
        <v>67</v>
      </c>
      <c r="B11" s="164">
        <v>8786</v>
      </c>
      <c r="C11" s="164">
        <v>6451</v>
      </c>
      <c r="D11" s="159">
        <f t="shared" si="1"/>
        <v>1612.75</v>
      </c>
      <c r="E11" s="181">
        <f t="shared" si="5"/>
        <v>10398.75</v>
      </c>
      <c r="F11" s="195">
        <v>371.25</v>
      </c>
      <c r="G11" s="123">
        <f t="shared" si="4"/>
        <v>28.01010101010101</v>
      </c>
      <c r="H11" s="182">
        <f>(F11-99.25)*(16.44)+(F11-99.25)*(73%*8.22)+(99.25*11.25)+313.5</f>
        <v>7533.9057</v>
      </c>
      <c r="I11" s="130">
        <f t="shared" si="0"/>
        <v>0.27384583929220835</v>
      </c>
      <c r="J11" s="200"/>
      <c r="K11" s="101" t="s">
        <v>125</v>
      </c>
      <c r="L11" s="164">
        <v>12358</v>
      </c>
      <c r="M11" s="164">
        <v>11588</v>
      </c>
      <c r="N11" s="159">
        <f>M11/2</f>
        <v>5794</v>
      </c>
      <c r="O11" s="181">
        <f>SUM(L11+N11)</f>
        <v>18152</v>
      </c>
      <c r="P11" s="195">
        <v>770.5</v>
      </c>
      <c r="Q11" s="123">
        <f>O11/P11</f>
        <v>23.55872809863725</v>
      </c>
      <c r="R11" s="182">
        <f>(P11-44.5)*(16.44)+(P11-44.5)*(73%*8.22)+(44.5*11.25)+391.88</f>
        <v>17184.3806</v>
      </c>
      <c r="S11" s="130">
        <f>R11/(L11*2.085+M11*1.425)</f>
        <v>0.40644874457565905</v>
      </c>
    </row>
    <row r="12" spans="1:19" ht="15.75" thickBot="1">
      <c r="A12" s="101" t="s">
        <v>63</v>
      </c>
      <c r="B12" s="164">
        <v>8871</v>
      </c>
      <c r="C12" s="164">
        <v>7885</v>
      </c>
      <c r="D12" s="159">
        <f t="shared" si="1"/>
        <v>1971.25</v>
      </c>
      <c r="E12" s="181">
        <f t="shared" si="5"/>
        <v>10842.25</v>
      </c>
      <c r="F12" s="195">
        <v>498.75</v>
      </c>
      <c r="G12" s="123">
        <f t="shared" si="4"/>
        <v>21.738847117794485</v>
      </c>
      <c r="H12" s="182">
        <f>(F12-69.75)*(16.44)+(F12-69.75)*(73%*8.22)+(69.75*11.25)+313.5</f>
        <v>10725.2049</v>
      </c>
      <c r="I12" s="130">
        <f t="shared" si="0"/>
        <v>0.36072740426528044</v>
      </c>
      <c r="J12" s="200"/>
      <c r="K12" s="101" t="s">
        <v>62</v>
      </c>
      <c r="L12" s="188">
        <v>8406</v>
      </c>
      <c r="M12" s="188">
        <v>9157</v>
      </c>
      <c r="N12" s="169">
        <f>M12/2</f>
        <v>4578.5</v>
      </c>
      <c r="O12" s="173">
        <f>SUM(L12+N12)</f>
        <v>12984.5</v>
      </c>
      <c r="P12" s="163">
        <v>542.75</v>
      </c>
      <c r="Q12" s="123">
        <f>O12/P12</f>
        <v>23.923537540304007</v>
      </c>
      <c r="R12" s="182">
        <f>(P12-30)*(16.44)+(P12-30)*(73%*8.22)+(30*11.25)</f>
        <v>11843.917650000001</v>
      </c>
      <c r="S12" s="130">
        <f>R12/(L12*2.085+M12*1.425)</f>
        <v>0.3873696359161263</v>
      </c>
    </row>
    <row r="13" spans="1:19" ht="15.75" thickBot="1">
      <c r="A13" s="102" t="s">
        <v>136</v>
      </c>
      <c r="B13" s="164">
        <v>6686</v>
      </c>
      <c r="C13" s="164">
        <v>1676</v>
      </c>
      <c r="D13" s="159">
        <f>C13/2</f>
        <v>838</v>
      </c>
      <c r="E13" s="181">
        <f t="shared" si="5"/>
        <v>7524</v>
      </c>
      <c r="F13" s="195">
        <v>612.75</v>
      </c>
      <c r="G13" s="123">
        <f t="shared" si="4"/>
        <v>12.279069767441861</v>
      </c>
      <c r="H13" s="182">
        <f>(F13-59.5)*(16.44)+(F13-59.5)*(73%*8.22)+(59.5*11.25)</f>
        <v>13084.63695</v>
      </c>
      <c r="I13" s="130">
        <f t="shared" si="0"/>
        <v>0.8013319535465664</v>
      </c>
      <c r="J13" s="200"/>
      <c r="K13" s="101" t="s">
        <v>71</v>
      </c>
      <c r="L13" s="188">
        <v>8856</v>
      </c>
      <c r="M13" s="188">
        <v>7393</v>
      </c>
      <c r="N13" s="169">
        <f>M13/2</f>
        <v>3696.5</v>
      </c>
      <c r="O13" s="173">
        <f>SUM(L13+N13)</f>
        <v>12552.5</v>
      </c>
      <c r="P13" s="163">
        <v>410</v>
      </c>
      <c r="Q13" s="123">
        <f>O13/P13</f>
        <v>30.615853658536587</v>
      </c>
      <c r="R13" s="182">
        <f>(P13-0)*(16.44)+(P13-0)*(73%*8.22)+(0*11.25)*464.06</f>
        <v>9200.646</v>
      </c>
      <c r="S13" s="130">
        <f>R13/(L13*2.085+M13*1.425)</f>
        <v>0.31726600731695087</v>
      </c>
    </row>
    <row r="14" spans="1:19" ht="15.75" thickBot="1">
      <c r="A14" s="101" t="s">
        <v>113</v>
      </c>
      <c r="B14" s="164">
        <v>6472</v>
      </c>
      <c r="C14" s="164">
        <v>3675</v>
      </c>
      <c r="D14" s="159">
        <f t="shared" si="1"/>
        <v>918.75</v>
      </c>
      <c r="E14" s="181">
        <f t="shared" si="5"/>
        <v>7390.75</v>
      </c>
      <c r="F14" s="195">
        <v>400.5</v>
      </c>
      <c r="G14" s="123">
        <f t="shared" si="4"/>
        <v>18.453807740324596</v>
      </c>
      <c r="H14" s="182">
        <f>(F14-125.75)*(16.44)+(F14-124.75)*(73%*8.22)+(124.75*11.25)</f>
        <v>7574.992950000001</v>
      </c>
      <c r="I14" s="130">
        <f t="shared" si="0"/>
        <v>0.4044095335031589</v>
      </c>
      <c r="J14" s="200"/>
      <c r="K14" s="139" t="s">
        <v>4</v>
      </c>
      <c r="L14" s="164"/>
      <c r="M14" s="164"/>
      <c r="N14" s="168"/>
      <c r="O14" s="118">
        <f>SUM(L14+N14)</f>
        <v>0</v>
      </c>
      <c r="P14" s="123"/>
      <c r="Q14" s="11"/>
      <c r="R14" s="140"/>
      <c r="S14" s="59"/>
    </row>
    <row r="15" spans="1:19" ht="15.75" thickBot="1">
      <c r="A15" s="102" t="s">
        <v>114</v>
      </c>
      <c r="B15" s="164">
        <v>584</v>
      </c>
      <c r="C15" s="164">
        <v>584</v>
      </c>
      <c r="D15" s="159">
        <f t="shared" si="1"/>
        <v>146</v>
      </c>
      <c r="E15" s="181">
        <v>0</v>
      </c>
      <c r="F15" s="195">
        <v>0</v>
      </c>
      <c r="G15" s="123">
        <v>0</v>
      </c>
      <c r="H15" s="185">
        <v>0</v>
      </c>
      <c r="I15" s="130">
        <f t="shared" si="0"/>
        <v>0</v>
      </c>
      <c r="J15" s="200"/>
      <c r="K15" s="102" t="s">
        <v>128</v>
      </c>
      <c r="L15" s="164">
        <v>8805</v>
      </c>
      <c r="M15" s="164">
        <v>6740</v>
      </c>
      <c r="N15" s="159">
        <f>M15/2</f>
        <v>3370</v>
      </c>
      <c r="O15" s="159">
        <f>SUM(L15+N15)</f>
        <v>12175</v>
      </c>
      <c r="P15" s="195">
        <v>584</v>
      </c>
      <c r="Q15" s="123">
        <f>O15/P15</f>
        <v>20.847602739726028</v>
      </c>
      <c r="R15" s="182">
        <f>(P15-0.5)*(16.44)+(P15-0.5)*(73%*8.22)+(0.5*11.25)+354.75</f>
        <v>13454.465100000001</v>
      </c>
      <c r="S15" s="130">
        <f>R15/(L15*2.085+M15*1.425)</f>
        <v>0.4811537097782153</v>
      </c>
    </row>
    <row r="16" spans="1:19" ht="18" customHeight="1" thickBot="1">
      <c r="A16" s="101" t="s">
        <v>115</v>
      </c>
      <c r="B16" s="164">
        <v>6788</v>
      </c>
      <c r="C16" s="164">
        <v>4561</v>
      </c>
      <c r="D16" s="159">
        <f t="shared" si="1"/>
        <v>1140.25</v>
      </c>
      <c r="E16" s="181">
        <f aca="true" t="shared" si="6" ref="E16:E32">SUM(B16+D16)</f>
        <v>7928.25</v>
      </c>
      <c r="F16" s="195">
        <v>475.75</v>
      </c>
      <c r="G16" s="123">
        <f t="shared" si="4"/>
        <v>16.664739884393065</v>
      </c>
      <c r="H16" s="182">
        <f>(F16-54.5)*(16.44)+(F16-54.5)*(73%*8.22)+(54.55*11.25)</f>
        <v>10066.79025</v>
      </c>
      <c r="I16" s="130">
        <f t="shared" si="0"/>
        <v>0.487439126339039</v>
      </c>
      <c r="J16" s="200"/>
      <c r="K16" s="102" t="s">
        <v>127</v>
      </c>
      <c r="L16" s="164">
        <v>8023</v>
      </c>
      <c r="M16" s="164">
        <v>6089</v>
      </c>
      <c r="N16" s="159">
        <f>M16/2</f>
        <v>3044.5</v>
      </c>
      <c r="O16" s="181">
        <f>SUM(L16+N16)</f>
        <v>11067.5</v>
      </c>
      <c r="P16" s="195">
        <v>602.75</v>
      </c>
      <c r="Q16" s="123">
        <f>O16/P16</f>
        <v>18.36167565325591</v>
      </c>
      <c r="R16" s="182">
        <f>(P16-95.5)*(16.44)+(P16-95.5)*(73%*8.22)+(95.5*11.25)+470.25</f>
        <v>12927.61935</v>
      </c>
      <c r="S16" s="130">
        <f>R16/(L16*2.085+M16*1.425)</f>
        <v>0.50886562883048</v>
      </c>
    </row>
    <row r="17" spans="1:10" ht="15.75" thickBot="1">
      <c r="A17" s="101" t="s">
        <v>116</v>
      </c>
      <c r="B17" s="164">
        <v>3995</v>
      </c>
      <c r="C17" s="164">
        <v>3294</v>
      </c>
      <c r="D17" s="159">
        <f t="shared" si="1"/>
        <v>823.5</v>
      </c>
      <c r="E17" s="181">
        <f t="shared" si="6"/>
        <v>4818.5</v>
      </c>
      <c r="F17" s="195">
        <v>316.25</v>
      </c>
      <c r="G17" s="123">
        <f t="shared" si="4"/>
        <v>15.236363636363636</v>
      </c>
      <c r="H17" s="182">
        <f>(F17-5.5)*(16.44)+(F17-5.5)*(73%*8.22)+(5.5*11.25)+297</f>
        <v>7332.291450000001</v>
      </c>
      <c r="I17" s="130">
        <f t="shared" si="0"/>
        <v>0.5630035992559618</v>
      </c>
      <c r="J17" s="200"/>
    </row>
    <row r="18" spans="1:19" ht="15.75" thickBot="1">
      <c r="A18" s="101" t="s">
        <v>125</v>
      </c>
      <c r="B18" s="164">
        <v>11424</v>
      </c>
      <c r="C18" s="164">
        <v>10145</v>
      </c>
      <c r="D18" s="159">
        <f>C18/2</f>
        <v>5072.5</v>
      </c>
      <c r="E18" s="181">
        <f t="shared" si="6"/>
        <v>16496.5</v>
      </c>
      <c r="F18" s="195">
        <v>770.5</v>
      </c>
      <c r="G18" s="123">
        <f t="shared" si="4"/>
        <v>21.410123296560673</v>
      </c>
      <c r="H18" s="182">
        <f>(F18-44.5)*(16.44)+(F18-44.5)*(73%*8.22)+(44.5*11.25)+391.88</f>
        <v>17184.3806</v>
      </c>
      <c r="I18" s="130">
        <f t="shared" si="0"/>
        <v>0.4489636065108209</v>
      </c>
      <c r="J18" s="200"/>
      <c r="K18" s="139" t="s">
        <v>74</v>
      </c>
      <c r="L18" s="164"/>
      <c r="M18" s="164"/>
      <c r="N18" s="169"/>
      <c r="O18" s="118">
        <f>SUM(L18+N18)</f>
        <v>0</v>
      </c>
      <c r="P18" s="123"/>
      <c r="Q18" s="123"/>
      <c r="R18" s="140"/>
      <c r="S18" s="128"/>
    </row>
    <row r="19" spans="1:19" ht="15.75" thickBot="1">
      <c r="A19" s="101" t="s">
        <v>73</v>
      </c>
      <c r="B19" s="164">
        <v>4897</v>
      </c>
      <c r="C19" s="164">
        <v>4900</v>
      </c>
      <c r="D19" s="159">
        <f t="shared" si="1"/>
        <v>1225</v>
      </c>
      <c r="E19" s="181">
        <f t="shared" si="6"/>
        <v>6122</v>
      </c>
      <c r="F19" s="195">
        <v>259.75</v>
      </c>
      <c r="G19" s="123">
        <f t="shared" si="4"/>
        <v>23.56881616939365</v>
      </c>
      <c r="H19" s="182">
        <f>(F19-6.5)*(16.44)+(F19-6.5)*(73%*8.22)+(6.5*11.25)</f>
        <v>5756.206950000001</v>
      </c>
      <c r="I19" s="130">
        <f t="shared" si="0"/>
        <v>0.3348044160487462</v>
      </c>
      <c r="J19" s="200"/>
      <c r="K19" s="102" t="s">
        <v>61</v>
      </c>
      <c r="L19" s="175">
        <v>1253</v>
      </c>
      <c r="M19" s="188">
        <v>729</v>
      </c>
      <c r="N19" s="169">
        <f>M19/4</f>
        <v>182.25</v>
      </c>
      <c r="O19" s="173">
        <f>SUM(L19+N19)</f>
        <v>1435.25</v>
      </c>
      <c r="P19" s="163">
        <v>204.75</v>
      </c>
      <c r="Q19" s="123">
        <f>O19/P19</f>
        <v>7.00976800976801</v>
      </c>
      <c r="R19" s="182">
        <f>(P19-0)*(16.44)+(P19-0)*(73%*8.22)+(0*11.25)</f>
        <v>4594.71285</v>
      </c>
      <c r="S19" s="130">
        <f>R19/(L19*2.085+M19*1.425)</f>
        <v>1.258366910139593</v>
      </c>
    </row>
    <row r="20" spans="1:19" ht="15.75" thickBot="1">
      <c r="A20" s="102" t="s">
        <v>132</v>
      </c>
      <c r="B20" s="164">
        <v>1528</v>
      </c>
      <c r="C20" s="164">
        <v>932</v>
      </c>
      <c r="D20" s="159">
        <f>C20/2</f>
        <v>466</v>
      </c>
      <c r="E20" s="181">
        <f t="shared" si="6"/>
        <v>1994</v>
      </c>
      <c r="F20" s="195">
        <v>369.75</v>
      </c>
      <c r="G20" s="123">
        <f t="shared" si="4"/>
        <v>5.392832995267073</v>
      </c>
      <c r="H20" s="182">
        <f>(F20-69)*(16.44)+(F20-69)*(73%*8.22)+(69*11.25)</f>
        <v>7525.260450000001</v>
      </c>
      <c r="I20" s="130">
        <f t="shared" si="0"/>
        <v>1.6671009729772839</v>
      </c>
      <c r="J20" s="200"/>
      <c r="K20" s="102" t="s">
        <v>131</v>
      </c>
      <c r="L20" s="175">
        <v>1631</v>
      </c>
      <c r="M20" s="188">
        <v>454</v>
      </c>
      <c r="N20" s="169">
        <f>M20/4</f>
        <v>113.5</v>
      </c>
      <c r="O20" s="173">
        <f>SUM(L20+N20)</f>
        <v>1744.5</v>
      </c>
      <c r="P20" s="163">
        <v>267</v>
      </c>
      <c r="Q20" s="123">
        <f>O20/P20</f>
        <v>6.533707865168539</v>
      </c>
      <c r="R20" s="182">
        <f>(P20-39.5)*(16.44)+(P20-39.5)*(73%*8.22)+(39.5*11.25)</f>
        <v>5549.611500000001</v>
      </c>
      <c r="S20" s="130">
        <f>R20/(L20*2.085+M20*1.425)</f>
        <v>1.3710920215387696</v>
      </c>
    </row>
    <row r="21" spans="1:19" ht="15.75" thickBot="1">
      <c r="A21" s="102" t="s">
        <v>118</v>
      </c>
      <c r="B21" s="164">
        <v>6997</v>
      </c>
      <c r="C21" s="164">
        <v>5712</v>
      </c>
      <c r="D21" s="159">
        <f t="shared" si="1"/>
        <v>1428</v>
      </c>
      <c r="E21" s="181">
        <f t="shared" si="6"/>
        <v>8425</v>
      </c>
      <c r="F21" s="195">
        <v>407</v>
      </c>
      <c r="G21" s="123">
        <f t="shared" si="4"/>
        <v>20.7002457002457</v>
      </c>
      <c r="H21" s="182">
        <f>(F21-44.5)*(16.44)+(F21-44.5)*(73%*8.22)+(44.5*11.25)+245.44</f>
        <v>8880.782500000001</v>
      </c>
      <c r="I21" s="130">
        <f t="shared" si="0"/>
        <v>0.39073599507575235</v>
      </c>
      <c r="J21" s="200"/>
      <c r="K21" s="102" t="s">
        <v>134</v>
      </c>
      <c r="L21" s="164">
        <v>2014</v>
      </c>
      <c r="M21" s="164">
        <v>1528</v>
      </c>
      <c r="N21" s="159">
        <f>M21/4</f>
        <v>382</v>
      </c>
      <c r="O21" s="181">
        <f>SUM(L21+N21)</f>
        <v>2396</v>
      </c>
      <c r="P21" s="195">
        <v>312.75</v>
      </c>
      <c r="Q21" s="123">
        <f>O21/P21</f>
        <v>7.661071143085532</v>
      </c>
      <c r="R21" s="182">
        <f>(P21*16.44)+(P21*73%*8.22)</f>
        <v>7018.29765</v>
      </c>
      <c r="S21" s="130">
        <f>R21/(L21*2.085+M21*1.425)</f>
        <v>1.1006349239954272</v>
      </c>
    </row>
    <row r="22" spans="1:19" ht="15.75" thickBot="1">
      <c r="A22" s="102" t="s">
        <v>133</v>
      </c>
      <c r="B22" s="164">
        <v>5371</v>
      </c>
      <c r="C22" s="164">
        <v>955</v>
      </c>
      <c r="D22" s="159">
        <f>C22/2</f>
        <v>477.5</v>
      </c>
      <c r="E22" s="181">
        <f t="shared" si="6"/>
        <v>5848.5</v>
      </c>
      <c r="F22" s="195">
        <v>725.75</v>
      </c>
      <c r="G22" s="123">
        <f t="shared" si="4"/>
        <v>8.058560110230795</v>
      </c>
      <c r="H22" s="182">
        <f>(F22-108)*(16.44)+(F22-108)*(73%*8.22)+(108*11.25)</f>
        <v>15077.680650000002</v>
      </c>
      <c r="I22" s="130">
        <f t="shared" si="0"/>
        <v>1.200508674372443</v>
      </c>
      <c r="J22" s="200"/>
      <c r="K22" s="221" t="s">
        <v>5</v>
      </c>
      <c r="L22" s="164"/>
      <c r="M22" s="164"/>
      <c r="N22" s="168"/>
      <c r="O22" s="118">
        <f>SUM(L22+N22)</f>
        <v>0</v>
      </c>
      <c r="P22" s="160"/>
      <c r="Q22" s="11"/>
      <c r="R22" s="140"/>
      <c r="S22" s="59"/>
    </row>
    <row r="23" spans="1:19" ht="15.75" thickBot="1">
      <c r="A23" s="102" t="s">
        <v>134</v>
      </c>
      <c r="B23" s="164">
        <v>1949</v>
      </c>
      <c r="C23" s="164">
        <v>1295</v>
      </c>
      <c r="D23" s="159">
        <f t="shared" si="1"/>
        <v>323.75</v>
      </c>
      <c r="E23" s="181">
        <f t="shared" si="6"/>
        <v>2272.75</v>
      </c>
      <c r="F23" s="195">
        <v>312.75</v>
      </c>
      <c r="G23" s="123">
        <f t="shared" si="4"/>
        <v>7.266986410871303</v>
      </c>
      <c r="H23" s="182">
        <f>(F23*16.44)+(F23*73%*8.22)</f>
        <v>7018.29765</v>
      </c>
      <c r="I23" s="130">
        <f t="shared" si="0"/>
        <v>1.1877221426830755</v>
      </c>
      <c r="J23" s="200"/>
      <c r="K23" s="101" t="s">
        <v>105</v>
      </c>
      <c r="L23" s="164">
        <v>7650</v>
      </c>
      <c r="M23" s="164">
        <v>7039</v>
      </c>
      <c r="N23" s="159">
        <f aca="true" t="shared" si="7" ref="N23:N32">M23/4</f>
        <v>1759.75</v>
      </c>
      <c r="O23" s="181">
        <f>SUM(L23+N23)</f>
        <v>9409.75</v>
      </c>
      <c r="P23" s="195">
        <v>343.75</v>
      </c>
      <c r="Q23" s="123">
        <f>O23/P23</f>
        <v>27.37381818181818</v>
      </c>
      <c r="R23" s="182">
        <f>(P23-108.75)*(16.44)+(P23-108.75)*(73%*8.22)+(108.75*11.25)+391.88</f>
        <v>6888.8585</v>
      </c>
      <c r="S23" s="130">
        <f aca="true" t="shared" si="8" ref="S23:S32">R23/(L23*2.085+M23*1.425)</f>
        <v>0.2651516454923968</v>
      </c>
    </row>
    <row r="24" spans="1:19" ht="15.75" thickBot="1">
      <c r="A24" s="102" t="s">
        <v>126</v>
      </c>
      <c r="B24" s="164">
        <v>9384</v>
      </c>
      <c r="C24" s="164">
        <v>3762</v>
      </c>
      <c r="D24" s="159">
        <f>C24/2</f>
        <v>1881</v>
      </c>
      <c r="E24" s="181">
        <f t="shared" si="6"/>
        <v>11265</v>
      </c>
      <c r="F24" s="195">
        <v>872.5</v>
      </c>
      <c r="G24" s="123">
        <f t="shared" si="4"/>
        <v>12.911174785100286</v>
      </c>
      <c r="H24" s="182">
        <f>(F24-13.5)*(16.44)+(F24-13.5)*(73%*8.22)+(13.5*11.25)</f>
        <v>19428.350400000003</v>
      </c>
      <c r="I24" s="130">
        <f t="shared" si="0"/>
        <v>0.7794258397391692</v>
      </c>
      <c r="J24" s="200"/>
      <c r="K24" s="102" t="s">
        <v>108</v>
      </c>
      <c r="L24" s="164">
        <v>8779</v>
      </c>
      <c r="M24" s="164">
        <v>6590</v>
      </c>
      <c r="N24" s="159">
        <f t="shared" si="7"/>
        <v>1647.5</v>
      </c>
      <c r="O24" s="181">
        <f>SUM(L24+N24)</f>
        <v>10426.5</v>
      </c>
      <c r="P24" s="195">
        <v>393.5</v>
      </c>
      <c r="Q24" s="123">
        <f aca="true" t="shared" si="9" ref="Q24:Q30">O24/P24</f>
        <v>26.49682337992376</v>
      </c>
      <c r="R24" s="182">
        <f>(P24-3.75)*(16.44)+(P24-3.755)*(73%*8.22)+(3.755*11.25)+381.56</f>
        <v>9169.997597</v>
      </c>
      <c r="S24" s="130">
        <f t="shared" si="8"/>
        <v>0.33110702963517014</v>
      </c>
    </row>
    <row r="25" spans="1:19" ht="15.75" thickBot="1">
      <c r="A25" s="102" t="s">
        <v>119</v>
      </c>
      <c r="B25" s="164">
        <v>7471</v>
      </c>
      <c r="C25" s="164">
        <v>6456</v>
      </c>
      <c r="D25" s="159">
        <f t="shared" si="1"/>
        <v>1614</v>
      </c>
      <c r="E25" s="181">
        <f t="shared" si="6"/>
        <v>9085</v>
      </c>
      <c r="F25" s="195">
        <v>381</v>
      </c>
      <c r="G25" s="123">
        <f t="shared" si="4"/>
        <v>23.84514435695538</v>
      </c>
      <c r="H25" s="182">
        <f>(F25-76.25)*(16.44)+(F25-76.25)*(73%*8.22)+(76.25*11.25)</f>
        <v>7696.58535</v>
      </c>
      <c r="I25" s="130">
        <f t="shared" si="0"/>
        <v>0.3106363403558203</v>
      </c>
      <c r="J25" s="200"/>
      <c r="K25" s="102" t="s">
        <v>68</v>
      </c>
      <c r="L25" s="164">
        <v>8045</v>
      </c>
      <c r="M25" s="164">
        <v>6777</v>
      </c>
      <c r="N25" s="159">
        <f t="shared" si="7"/>
        <v>1694.25</v>
      </c>
      <c r="O25" s="181">
        <f aca="true" t="shared" si="10" ref="O25:O30">SUM(L25+N25)</f>
        <v>9739.25</v>
      </c>
      <c r="P25" s="195">
        <v>407.25</v>
      </c>
      <c r="Q25" s="123">
        <f t="shared" si="9"/>
        <v>23.914671577655003</v>
      </c>
      <c r="R25" s="182">
        <f>(P25*16.44)+(P25*73%*8.22)+173.25</f>
        <v>9312.184350000001</v>
      </c>
      <c r="S25" s="130">
        <f t="shared" si="8"/>
        <v>0.35231987945995336</v>
      </c>
    </row>
    <row r="26" spans="1:19" ht="15.75" thickBot="1">
      <c r="A26" s="102" t="s">
        <v>120</v>
      </c>
      <c r="B26" s="164">
        <v>7113</v>
      </c>
      <c r="C26" s="164">
        <v>4072</v>
      </c>
      <c r="D26" s="159">
        <f t="shared" si="1"/>
        <v>1018</v>
      </c>
      <c r="E26" s="181">
        <f t="shared" si="6"/>
        <v>8131</v>
      </c>
      <c r="F26" s="195">
        <v>403.5</v>
      </c>
      <c r="G26" s="123">
        <f t="shared" si="4"/>
        <v>20.151177199504335</v>
      </c>
      <c r="H26" s="182">
        <f>(F26-12.5)*(16.44)+(F26-12.5)*(73%*8.22)+(12.5*11.25)+431.06</f>
        <v>9345.9596</v>
      </c>
      <c r="I26" s="130">
        <f t="shared" si="0"/>
        <v>0.45295724052564784</v>
      </c>
      <c r="J26" s="200"/>
      <c r="K26" s="101" t="s">
        <v>110</v>
      </c>
      <c r="L26" s="164">
        <v>3772</v>
      </c>
      <c r="M26" s="164">
        <v>2841</v>
      </c>
      <c r="N26" s="159">
        <f t="shared" si="7"/>
        <v>710.25</v>
      </c>
      <c r="O26" s="181">
        <f t="shared" si="10"/>
        <v>4482.25</v>
      </c>
      <c r="P26" s="195">
        <v>203.5</v>
      </c>
      <c r="Q26" s="123">
        <f t="shared" si="9"/>
        <v>22.025798525798525</v>
      </c>
      <c r="R26" s="182">
        <f>(P26-50.5)*(16.44)+(P26-59.5)*(73%*8.22)+(59.5*11.25)</f>
        <v>4048.7814000000003</v>
      </c>
      <c r="S26" s="130">
        <f t="shared" si="8"/>
        <v>0.3398611689958361</v>
      </c>
    </row>
    <row r="27" spans="1:19" ht="15.75" thickBot="1">
      <c r="A27" s="105" t="s">
        <v>8</v>
      </c>
      <c r="B27" s="164">
        <v>2638</v>
      </c>
      <c r="C27" s="164">
        <v>2625</v>
      </c>
      <c r="D27" s="159">
        <f t="shared" si="1"/>
        <v>656.25</v>
      </c>
      <c r="E27" s="181">
        <f t="shared" si="6"/>
        <v>3294.25</v>
      </c>
      <c r="F27" s="195">
        <v>288.5</v>
      </c>
      <c r="G27" s="123">
        <f t="shared" si="4"/>
        <v>11.418544194107453</v>
      </c>
      <c r="H27" s="182">
        <f>(F27-53)*(16.44)+(F27-53)*(73%*8.22)+(53*11.25)</f>
        <v>5881.0113</v>
      </c>
      <c r="I27" s="130">
        <f t="shared" si="0"/>
        <v>0.6364141954397078</v>
      </c>
      <c r="J27" s="200"/>
      <c r="K27" s="102" t="s">
        <v>111</v>
      </c>
      <c r="L27" s="164">
        <v>8327</v>
      </c>
      <c r="M27" s="164">
        <v>6532</v>
      </c>
      <c r="N27" s="159">
        <f t="shared" si="7"/>
        <v>1633</v>
      </c>
      <c r="O27" s="181">
        <f t="shared" si="10"/>
        <v>9960</v>
      </c>
      <c r="P27" s="195">
        <v>441.25</v>
      </c>
      <c r="Q27" s="123">
        <f t="shared" si="9"/>
        <v>22.572237960339944</v>
      </c>
      <c r="R27" s="182">
        <f>(P27-10.25)*(16.44)+(P27-10.25)*(73%*8.22)+(10.25*11.25)</f>
        <v>9787.2111</v>
      </c>
      <c r="S27" s="130">
        <f t="shared" si="8"/>
        <v>0.3669759892193052</v>
      </c>
    </row>
    <row r="28" spans="1:19" ht="15.75" thickBot="1">
      <c r="A28" s="102" t="s">
        <v>127</v>
      </c>
      <c r="B28" s="164">
        <v>8328</v>
      </c>
      <c r="C28" s="164">
        <v>8728</v>
      </c>
      <c r="D28" s="159">
        <f>C28/2</f>
        <v>4364</v>
      </c>
      <c r="E28" s="181">
        <f t="shared" si="6"/>
        <v>12692</v>
      </c>
      <c r="F28" s="195">
        <v>602.75</v>
      </c>
      <c r="G28" s="123">
        <f t="shared" si="4"/>
        <v>21.05682289506429</v>
      </c>
      <c r="H28" s="182">
        <f>(F28-95.5)*(16.44)+(F28-95.5)*(73%*8.22)+(95.5*11.25)+470.25</f>
        <v>12927.61935</v>
      </c>
      <c r="I28" s="130">
        <f t="shared" si="0"/>
        <v>0.43379409709918504</v>
      </c>
      <c r="J28" s="200"/>
      <c r="K28" s="101" t="s">
        <v>67</v>
      </c>
      <c r="L28" s="164">
        <v>9422</v>
      </c>
      <c r="M28" s="164">
        <v>7506</v>
      </c>
      <c r="N28" s="159">
        <f t="shared" si="7"/>
        <v>1876.5</v>
      </c>
      <c r="O28" s="181">
        <f t="shared" si="10"/>
        <v>11298.5</v>
      </c>
      <c r="P28" s="195">
        <v>371.25</v>
      </c>
      <c r="Q28" s="123">
        <f t="shared" si="9"/>
        <v>30.433670033670033</v>
      </c>
      <c r="R28" s="182">
        <f>(P28-99.25)*(16.44)+(P28-99.25)*(73%*8.22)+(99.25*11.25)+313.5</f>
        <v>7533.9057</v>
      </c>
      <c r="S28" s="130">
        <f t="shared" si="8"/>
        <v>0.24830841319248068</v>
      </c>
    </row>
    <row r="29" spans="1:19" ht="15.75" thickBot="1">
      <c r="A29" s="102" t="s">
        <v>69</v>
      </c>
      <c r="B29" s="164">
        <v>5625</v>
      </c>
      <c r="C29" s="164">
        <v>4994</v>
      </c>
      <c r="D29" s="159">
        <f t="shared" si="1"/>
        <v>1248.5</v>
      </c>
      <c r="E29" s="181">
        <f t="shared" si="6"/>
        <v>6873.5</v>
      </c>
      <c r="F29" s="195">
        <v>358.75</v>
      </c>
      <c r="G29" s="123">
        <f t="shared" si="4"/>
        <v>19.1595818815331</v>
      </c>
      <c r="H29" s="182">
        <f>(F29-73.5)*(16.44)+(F29-73.5)*(73%*8.22)+(73.5*11.25)+313.5</f>
        <v>7541.55615</v>
      </c>
      <c r="I29" s="130">
        <f t="shared" si="0"/>
        <v>0.40019773064661845</v>
      </c>
      <c r="J29" s="200"/>
      <c r="K29" s="101" t="s">
        <v>6</v>
      </c>
      <c r="L29" s="164">
        <v>10602</v>
      </c>
      <c r="M29" s="164">
        <v>9120</v>
      </c>
      <c r="N29" s="159">
        <f t="shared" si="7"/>
        <v>2280</v>
      </c>
      <c r="O29" s="181">
        <f t="shared" si="10"/>
        <v>12882</v>
      </c>
      <c r="P29" s="195">
        <v>498.75</v>
      </c>
      <c r="Q29" s="123">
        <f t="shared" si="9"/>
        <v>25.82857142857143</v>
      </c>
      <c r="R29" s="182">
        <f>(P29-69.75)*(16.44)+(P29-69.75)*(73%*8.22)+(69.75*11.25)+313.5</f>
        <v>10725.2049</v>
      </c>
      <c r="S29" s="130">
        <f t="shared" si="8"/>
        <v>0.30555120812212244</v>
      </c>
    </row>
    <row r="30" spans="1:19" ht="15.75" thickBot="1">
      <c r="A30" s="102" t="s">
        <v>135</v>
      </c>
      <c r="B30" s="164">
        <v>2371</v>
      </c>
      <c r="C30" s="164">
        <v>1234</v>
      </c>
      <c r="D30" s="159">
        <f>C30/2</f>
        <v>617</v>
      </c>
      <c r="E30" s="181">
        <f t="shared" si="6"/>
        <v>2988</v>
      </c>
      <c r="F30" s="195">
        <v>573</v>
      </c>
      <c r="G30" s="123">
        <f t="shared" si="4"/>
        <v>5.214659685863874</v>
      </c>
      <c r="H30" s="182">
        <f>(F30-27)*(16.44)+(F30-27)*(73%*8.22)+(27*11.25)</f>
        <v>12556.317600000002</v>
      </c>
      <c r="I30" s="130">
        <f t="shared" si="0"/>
        <v>1.873522187829427</v>
      </c>
      <c r="J30" s="200"/>
      <c r="K30" s="101" t="s">
        <v>113</v>
      </c>
      <c r="L30" s="164">
        <v>6718</v>
      </c>
      <c r="M30" s="164">
        <v>4161</v>
      </c>
      <c r="N30" s="159">
        <f t="shared" si="7"/>
        <v>1040.25</v>
      </c>
      <c r="O30" s="181">
        <f t="shared" si="10"/>
        <v>7758.25</v>
      </c>
      <c r="P30" s="195">
        <v>400.5</v>
      </c>
      <c r="Q30" s="123">
        <f t="shared" si="9"/>
        <v>19.371410736579275</v>
      </c>
      <c r="R30" s="182">
        <f>(P30-125.75)*(16.44)+(P30-124.75)*(73%*8.22)+(124.75*11.25)</f>
        <v>7574.992950000001</v>
      </c>
      <c r="S30" s="130">
        <f t="shared" si="8"/>
        <v>0.3799568654507534</v>
      </c>
    </row>
    <row r="31" spans="1:19" ht="15.75" thickBot="1">
      <c r="A31" s="102" t="s">
        <v>70</v>
      </c>
      <c r="B31" s="164">
        <v>3327</v>
      </c>
      <c r="C31" s="164">
        <v>3191</v>
      </c>
      <c r="D31" s="159">
        <f t="shared" si="1"/>
        <v>797.75</v>
      </c>
      <c r="E31" s="181">
        <f t="shared" si="6"/>
        <v>4124.75</v>
      </c>
      <c r="F31" s="195">
        <v>178.5</v>
      </c>
      <c r="G31" s="123">
        <f t="shared" si="4"/>
        <v>23.107843137254903</v>
      </c>
      <c r="H31" s="182">
        <f>(F31-85)*(16.44)+(F31-85)*(73%*8.22)+(85*11.25)+181.5</f>
        <v>3235.9461</v>
      </c>
      <c r="I31" s="130">
        <f t="shared" si="0"/>
        <v>0.28177939336309654</v>
      </c>
      <c r="J31" s="200"/>
      <c r="K31" s="102" t="s">
        <v>114</v>
      </c>
      <c r="L31" s="164">
        <v>684</v>
      </c>
      <c r="M31" s="164">
        <v>641</v>
      </c>
      <c r="N31" s="159">
        <f t="shared" si="7"/>
        <v>160.25</v>
      </c>
      <c r="O31" s="181">
        <v>0</v>
      </c>
      <c r="P31" s="195">
        <v>0</v>
      </c>
      <c r="Q31" s="123">
        <v>0</v>
      </c>
      <c r="R31" s="185">
        <v>0</v>
      </c>
      <c r="S31" s="130">
        <f t="shared" si="8"/>
        <v>0</v>
      </c>
    </row>
    <row r="32" spans="1:19" ht="17.25" customHeight="1">
      <c r="A32" s="102" t="s">
        <v>128</v>
      </c>
      <c r="B32" s="164">
        <v>9000</v>
      </c>
      <c r="C32" s="164">
        <v>6564</v>
      </c>
      <c r="D32" s="159">
        <f>C32/2</f>
        <v>3282</v>
      </c>
      <c r="E32" s="159">
        <f t="shared" si="6"/>
        <v>12282</v>
      </c>
      <c r="F32" s="195">
        <v>584</v>
      </c>
      <c r="G32" s="123">
        <f t="shared" si="4"/>
        <v>21.03082191780822</v>
      </c>
      <c r="H32" s="182">
        <f>(F32-0.5)*(16.44)+(F32-0.5)*(73%*8.22)+(0.5*11.25)+354.75</f>
        <v>13454.465100000001</v>
      </c>
      <c r="I32" s="130">
        <f t="shared" si="0"/>
        <v>0.4784881626817741</v>
      </c>
      <c r="J32" s="204"/>
      <c r="K32" s="105" t="s">
        <v>97</v>
      </c>
      <c r="L32" s="175">
        <v>4955</v>
      </c>
      <c r="M32" s="188">
        <v>2628</v>
      </c>
      <c r="N32" s="169">
        <f t="shared" si="7"/>
        <v>657</v>
      </c>
      <c r="O32" s="173">
        <f>SUM(L32+N32)</f>
        <v>5612</v>
      </c>
      <c r="P32" s="163">
        <v>125</v>
      </c>
      <c r="Q32" s="123">
        <f>O32/P32</f>
        <v>44.896</v>
      </c>
      <c r="R32" s="182">
        <f>(P32-64.75)*(16.44)+(P32-64.75)*(73%*8.22)+(64.75*11.25)+297</f>
        <v>2377.48365</v>
      </c>
      <c r="S32" s="130">
        <f t="shared" si="8"/>
        <v>0.16890245682834173</v>
      </c>
    </row>
    <row r="33" spans="1:19" ht="59.25" customHeight="1" thickBot="1">
      <c r="A33" s="144" t="s">
        <v>85</v>
      </c>
      <c r="B33" s="131" t="s">
        <v>87</v>
      </c>
      <c r="C33" s="131" t="s">
        <v>86</v>
      </c>
      <c r="D33" s="117" t="s">
        <v>80</v>
      </c>
      <c r="E33" s="117" t="s">
        <v>54</v>
      </c>
      <c r="F33" s="117" t="s">
        <v>55</v>
      </c>
      <c r="G33" s="145" t="s">
        <v>46</v>
      </c>
      <c r="H33" s="132" t="s">
        <v>48</v>
      </c>
      <c r="I33" s="146" t="s">
        <v>47</v>
      </c>
      <c r="J33" s="48"/>
      <c r="K33" s="134" t="s">
        <v>85</v>
      </c>
      <c r="L33" s="135" t="s">
        <v>87</v>
      </c>
      <c r="M33" s="135" t="s">
        <v>86</v>
      </c>
      <c r="N33" s="135" t="s">
        <v>94</v>
      </c>
      <c r="O33" s="136" t="s">
        <v>54</v>
      </c>
      <c r="P33" s="136" t="s">
        <v>96</v>
      </c>
      <c r="Q33" s="137" t="s">
        <v>45</v>
      </c>
      <c r="R33" s="138" t="s">
        <v>48</v>
      </c>
      <c r="S33" s="138" t="s">
        <v>47</v>
      </c>
    </row>
    <row r="34" spans="1:19" ht="15.75" thickBot="1">
      <c r="A34" s="119" t="s">
        <v>129</v>
      </c>
      <c r="B34" s="174">
        <v>1874</v>
      </c>
      <c r="C34" s="187">
        <v>762</v>
      </c>
      <c r="D34" s="173">
        <f>C34/2</f>
        <v>381</v>
      </c>
      <c r="E34" s="173">
        <f aca="true" t="shared" si="11" ref="E34:E47">SUM(B34+D34)</f>
        <v>2255</v>
      </c>
      <c r="F34" s="193">
        <v>337.75</v>
      </c>
      <c r="G34" s="126">
        <f t="shared" si="4"/>
        <v>6.676535899333826</v>
      </c>
      <c r="H34" s="182">
        <f>(F34-0.1)*(16.44)+(F34-0.1)*(73%*8.22)+(0.1*11.25)</f>
        <v>7578.193590000001</v>
      </c>
      <c r="I34" s="130">
        <f aca="true" t="shared" si="12" ref="I34:I47">H34/(B34*2.085+C34*1.425)</f>
        <v>1.5177210312548817</v>
      </c>
      <c r="J34" s="200"/>
      <c r="K34" s="139" t="s">
        <v>77</v>
      </c>
      <c r="L34" s="20"/>
      <c r="M34" s="20"/>
      <c r="N34" s="127"/>
      <c r="O34" s="118"/>
      <c r="P34" s="133"/>
      <c r="Q34" s="123"/>
      <c r="R34" s="140"/>
      <c r="S34" s="128"/>
    </row>
    <row r="35" spans="1:19" ht="15.75" thickBot="1">
      <c r="A35" s="102" t="s">
        <v>130</v>
      </c>
      <c r="B35" s="175">
        <v>163</v>
      </c>
      <c r="C35" s="188">
        <v>168</v>
      </c>
      <c r="D35" s="173">
        <f>C35/4</f>
        <v>42</v>
      </c>
      <c r="E35" s="173">
        <f t="shared" si="11"/>
        <v>205</v>
      </c>
      <c r="F35" s="163">
        <v>0</v>
      </c>
      <c r="G35" s="123">
        <v>0</v>
      </c>
      <c r="H35" s="182">
        <v>0</v>
      </c>
      <c r="I35" s="130">
        <f t="shared" si="12"/>
        <v>0</v>
      </c>
      <c r="J35" s="200"/>
      <c r="K35" s="101" t="s">
        <v>116</v>
      </c>
      <c r="L35" s="164">
        <v>6071</v>
      </c>
      <c r="M35" s="164">
        <v>3539</v>
      </c>
      <c r="N35" s="159">
        <f aca="true" t="shared" si="13" ref="N35:N41">M35/4</f>
        <v>884.75</v>
      </c>
      <c r="O35" s="181">
        <f aca="true" t="shared" si="14" ref="O35:O40">SUM(L35+N35)</f>
        <v>6955.75</v>
      </c>
      <c r="P35" s="195">
        <v>316.25</v>
      </c>
      <c r="Q35" s="123">
        <f aca="true" t="shared" si="15" ref="Q35:Q41">O35/P35</f>
        <v>21.994466403162054</v>
      </c>
      <c r="R35" s="182">
        <f>(P35-5.5)*(16.44)+(P35-5.5)*(73%*8.22)+(5.5*11.25)+297</f>
        <v>7332.291450000001</v>
      </c>
      <c r="S35" s="130">
        <f aca="true" t="shared" si="16" ref="S35:S41">R35/(L35*2.085+M35*1.425)</f>
        <v>0.4142277772410883</v>
      </c>
    </row>
    <row r="36" spans="1:19" ht="15.75" thickBot="1">
      <c r="A36" s="102" t="s">
        <v>61</v>
      </c>
      <c r="B36" s="175">
        <v>1105</v>
      </c>
      <c r="C36" s="188">
        <v>762</v>
      </c>
      <c r="D36" s="169">
        <f t="shared" si="1"/>
        <v>190.5</v>
      </c>
      <c r="E36" s="173">
        <f t="shared" si="11"/>
        <v>1295.5</v>
      </c>
      <c r="F36" s="163">
        <v>204.75</v>
      </c>
      <c r="G36" s="123">
        <f t="shared" si="4"/>
        <v>6.327228327228327</v>
      </c>
      <c r="H36" s="182">
        <f>(F36-0)*(16.44)+(F36-0)*(73%*8.22)+(0*11.25)</f>
        <v>4594.71285</v>
      </c>
      <c r="I36" s="130">
        <f t="shared" si="12"/>
        <v>1.3554624864482154</v>
      </c>
      <c r="J36" s="200"/>
      <c r="K36" s="102" t="s">
        <v>118</v>
      </c>
      <c r="L36" s="164">
        <v>8170</v>
      </c>
      <c r="M36" s="164">
        <v>6897</v>
      </c>
      <c r="N36" s="159">
        <f t="shared" si="13"/>
        <v>1724.25</v>
      </c>
      <c r="O36" s="181">
        <f t="shared" si="14"/>
        <v>9894.25</v>
      </c>
      <c r="P36" s="195">
        <v>407</v>
      </c>
      <c r="Q36" s="123">
        <f t="shared" si="15"/>
        <v>24.31019656019656</v>
      </c>
      <c r="R36" s="182">
        <f>(P36-44.5)*(16.44)+(P36-44.5)*(73%*8.22)+(44.5*11.25)+245.44</f>
        <v>8880.782500000001</v>
      </c>
      <c r="S36" s="130">
        <f t="shared" si="16"/>
        <v>0.33059933532308305</v>
      </c>
    </row>
    <row r="37" spans="1:19" ht="15.75" thickBot="1">
      <c r="A37" s="105" t="s">
        <v>97</v>
      </c>
      <c r="B37" s="175">
        <v>5766</v>
      </c>
      <c r="C37" s="188">
        <v>5448</v>
      </c>
      <c r="D37" s="169">
        <f t="shared" si="1"/>
        <v>1362</v>
      </c>
      <c r="E37" s="173">
        <f t="shared" si="11"/>
        <v>7128</v>
      </c>
      <c r="F37" s="163">
        <v>125</v>
      </c>
      <c r="G37" s="123">
        <f t="shared" si="4"/>
        <v>57.024</v>
      </c>
      <c r="H37" s="182">
        <f>(F37-64.75)*(16.44)+(F37-64.75)*(73%*8.22)+(64.75*11.25)+297</f>
        <v>2377.48365</v>
      </c>
      <c r="I37" s="130">
        <f t="shared" si="12"/>
        <v>0.12016286919063496</v>
      </c>
      <c r="J37" s="200"/>
      <c r="K37" s="102" t="s">
        <v>120</v>
      </c>
      <c r="L37" s="164">
        <v>8124</v>
      </c>
      <c r="M37" s="164">
        <v>4430</v>
      </c>
      <c r="N37" s="159">
        <f t="shared" si="13"/>
        <v>1107.5</v>
      </c>
      <c r="O37" s="181">
        <f t="shared" si="14"/>
        <v>9231.5</v>
      </c>
      <c r="P37" s="195">
        <v>403.5</v>
      </c>
      <c r="Q37" s="123">
        <f t="shared" si="15"/>
        <v>22.878562577447337</v>
      </c>
      <c r="R37" s="182">
        <f>(P37-12.5)*(16.44)+(P37-12.5)*(73%*8.22)+(12.5*11.25)+431.06</f>
        <v>9345.9596</v>
      </c>
      <c r="S37" s="130">
        <f t="shared" si="16"/>
        <v>0.40195445500013116</v>
      </c>
    </row>
    <row r="38" spans="1:19" ht="15.75" thickBot="1">
      <c r="A38" s="102" t="s">
        <v>131</v>
      </c>
      <c r="B38" s="175">
        <v>1102</v>
      </c>
      <c r="C38" s="188">
        <v>226</v>
      </c>
      <c r="D38" s="169">
        <f t="shared" si="1"/>
        <v>56.5</v>
      </c>
      <c r="E38" s="173">
        <f t="shared" si="11"/>
        <v>1158.5</v>
      </c>
      <c r="F38" s="163">
        <v>267</v>
      </c>
      <c r="G38" s="123">
        <f t="shared" si="4"/>
        <v>4.3389513108614235</v>
      </c>
      <c r="H38" s="182">
        <f>(F38-39.5)*(16.44)+(F38-39.5)*(73%*8.22)+(39.5*11.25)</f>
        <v>5549.611500000001</v>
      </c>
      <c r="I38" s="130">
        <f t="shared" si="12"/>
        <v>2.1183987220008245</v>
      </c>
      <c r="J38" s="200"/>
      <c r="K38" s="105" t="s">
        <v>8</v>
      </c>
      <c r="L38" s="164">
        <v>2850</v>
      </c>
      <c r="M38" s="164">
        <v>2660</v>
      </c>
      <c r="N38" s="159">
        <f t="shared" si="13"/>
        <v>665</v>
      </c>
      <c r="O38" s="181">
        <f t="shared" si="14"/>
        <v>3515</v>
      </c>
      <c r="P38" s="195">
        <v>288.5</v>
      </c>
      <c r="Q38" s="123">
        <f t="shared" si="15"/>
        <v>12.18370883882149</v>
      </c>
      <c r="R38" s="182">
        <f>(P38-53)*(16.44)+(P38-53)*(73%*8.22)+(53*11.25)</f>
        <v>5881.0113</v>
      </c>
      <c r="S38" s="130">
        <f t="shared" si="16"/>
        <v>0.6042497033212607</v>
      </c>
    </row>
    <row r="39" spans="1:19" ht="15.75" thickBot="1">
      <c r="A39" s="102" t="s">
        <v>98</v>
      </c>
      <c r="B39" s="175">
        <v>7128</v>
      </c>
      <c r="C39" s="188">
        <v>6979</v>
      </c>
      <c r="D39" s="169">
        <f t="shared" si="1"/>
        <v>1744.75</v>
      </c>
      <c r="E39" s="173">
        <f t="shared" si="11"/>
        <v>8872.75</v>
      </c>
      <c r="F39" s="163">
        <v>227</v>
      </c>
      <c r="G39" s="123">
        <f t="shared" si="4"/>
        <v>39.08700440528634</v>
      </c>
      <c r="H39" s="182">
        <f>(F39-98.5)*(16.44)+(F39-98.5)*(73%*8.22)+(98.5*11.25)+195.94</f>
        <v>4187.6821</v>
      </c>
      <c r="I39" s="130">
        <f t="shared" si="12"/>
        <v>0.16881080729174539</v>
      </c>
      <c r="J39" s="200"/>
      <c r="K39" s="102" t="s">
        <v>69</v>
      </c>
      <c r="L39" s="164">
        <v>6179</v>
      </c>
      <c r="M39" s="164">
        <v>6115</v>
      </c>
      <c r="N39" s="159">
        <f t="shared" si="13"/>
        <v>1528.75</v>
      </c>
      <c r="O39" s="181">
        <f t="shared" si="14"/>
        <v>7707.75</v>
      </c>
      <c r="P39" s="195">
        <v>358.75</v>
      </c>
      <c r="Q39" s="123">
        <f t="shared" si="15"/>
        <v>21.485017421602787</v>
      </c>
      <c r="R39" s="182">
        <f>(P39-73.5)*(16.44)+(P39-73.5)*(73%*8.22)+(73.5*11.25)+313.5</f>
        <v>7541.55615</v>
      </c>
      <c r="S39" s="130">
        <f t="shared" si="16"/>
        <v>0.3491931621343431</v>
      </c>
    </row>
    <row r="40" spans="1:19" ht="15.75" thickBot="1">
      <c r="A40" s="101" t="s">
        <v>62</v>
      </c>
      <c r="B40" s="175">
        <v>6743</v>
      </c>
      <c r="C40" s="188">
        <v>7236</v>
      </c>
      <c r="D40" s="169">
        <f>C40/2</f>
        <v>3618</v>
      </c>
      <c r="E40" s="173">
        <f t="shared" si="11"/>
        <v>10361</v>
      </c>
      <c r="F40" s="163">
        <v>542.75</v>
      </c>
      <c r="G40" s="123">
        <f t="shared" si="4"/>
        <v>19.089820359281436</v>
      </c>
      <c r="H40" s="182">
        <f>(F40-30)*(16.44)+(F40-30)*(73%*8.22)+(30*11.25)</f>
        <v>11843.917650000001</v>
      </c>
      <c r="I40" s="130">
        <f t="shared" si="12"/>
        <v>0.48599493320908455</v>
      </c>
      <c r="J40" s="200"/>
      <c r="K40" s="228" t="s">
        <v>70</v>
      </c>
      <c r="L40" s="229">
        <v>3135</v>
      </c>
      <c r="M40" s="229">
        <v>3123</v>
      </c>
      <c r="N40" s="230">
        <f t="shared" si="13"/>
        <v>780.75</v>
      </c>
      <c r="O40" s="231">
        <f t="shared" si="14"/>
        <v>3915.75</v>
      </c>
      <c r="P40" s="232">
        <v>178.5</v>
      </c>
      <c r="Q40" s="224">
        <f t="shared" si="15"/>
        <v>21.936974789915965</v>
      </c>
      <c r="R40" s="225">
        <f>(P40-85)*(16.44)+(P40-85)*(73%*8.22)+(85*11.25)+181.5</f>
        <v>3235.9461</v>
      </c>
      <c r="S40" s="209">
        <f t="shared" si="16"/>
        <v>0.2945316949962455</v>
      </c>
    </row>
    <row r="41" spans="1:19" ht="15.75" thickBot="1">
      <c r="A41" s="101" t="s">
        <v>71</v>
      </c>
      <c r="B41" s="175">
        <v>8291</v>
      </c>
      <c r="C41" s="188">
        <v>6550</v>
      </c>
      <c r="D41" s="169">
        <f>C41/2</f>
        <v>3275</v>
      </c>
      <c r="E41" s="173">
        <f t="shared" si="11"/>
        <v>11566</v>
      </c>
      <c r="F41" s="163">
        <v>410</v>
      </c>
      <c r="G41" s="123">
        <f t="shared" si="4"/>
        <v>28.209756097560977</v>
      </c>
      <c r="H41" s="182">
        <f>(F41-0)*(16.44)+(F41-0)*(73%*8.22)+(0*11.25)*464.06</f>
        <v>9200.646</v>
      </c>
      <c r="I41" s="130">
        <f t="shared" si="12"/>
        <v>0.3456227788486949</v>
      </c>
      <c r="J41" s="200"/>
      <c r="K41" s="101" t="s">
        <v>100</v>
      </c>
      <c r="L41" s="175">
        <v>6517</v>
      </c>
      <c r="M41" s="188">
        <v>6197</v>
      </c>
      <c r="N41" s="169">
        <f t="shared" si="13"/>
        <v>1549.25</v>
      </c>
      <c r="O41" s="169">
        <f>SUM(L41+N41)</f>
        <v>8066.25</v>
      </c>
      <c r="P41" s="163">
        <v>391.25</v>
      </c>
      <c r="Q41" s="123">
        <f t="shared" si="15"/>
        <v>20.616613418530353</v>
      </c>
      <c r="R41" s="234">
        <f>(P41-91.75)*(16.44)+(P41-91.75)*(73%*8.22)+(91.75*11.25)</f>
        <v>7753.147200000001</v>
      </c>
      <c r="S41" s="128">
        <f t="shared" si="16"/>
        <v>0.34583439606363814</v>
      </c>
    </row>
    <row r="42" spans="1:19" ht="15.75" thickBot="1">
      <c r="A42" s="101" t="s">
        <v>99</v>
      </c>
      <c r="B42" s="175">
        <v>7451</v>
      </c>
      <c r="C42" s="188">
        <v>6170</v>
      </c>
      <c r="D42" s="169">
        <f t="shared" si="1"/>
        <v>1542.5</v>
      </c>
      <c r="E42" s="173">
        <f t="shared" si="11"/>
        <v>8993.5</v>
      </c>
      <c r="F42" s="163">
        <v>475.75</v>
      </c>
      <c r="G42" s="123">
        <f t="shared" si="4"/>
        <v>18.90383604834472</v>
      </c>
      <c r="H42" s="182">
        <f>(F42-3)*(16.44)+(F42-3)*(73%*8.22)+(3*11.25)+391.88</f>
        <v>11034.423649999999</v>
      </c>
      <c r="I42" s="130">
        <f t="shared" si="12"/>
        <v>0.45357661477701133</v>
      </c>
      <c r="J42" s="200"/>
      <c r="K42" s="48"/>
      <c r="L42" s="164"/>
      <c r="M42" s="164"/>
      <c r="N42" s="169"/>
      <c r="O42" s="162"/>
      <c r="P42" s="160"/>
      <c r="Q42" s="123"/>
      <c r="R42" s="140"/>
      <c r="S42" s="128"/>
    </row>
    <row r="43" spans="1:19" ht="15.75" thickBot="1">
      <c r="A43" s="104" t="s">
        <v>100</v>
      </c>
      <c r="B43" s="175">
        <v>6425</v>
      </c>
      <c r="C43" s="188">
        <v>5717</v>
      </c>
      <c r="D43" s="169">
        <f t="shared" si="1"/>
        <v>1429.25</v>
      </c>
      <c r="E43" s="173">
        <f t="shared" si="11"/>
        <v>7854.25</v>
      </c>
      <c r="F43" s="163">
        <v>391.25</v>
      </c>
      <c r="G43" s="123">
        <f t="shared" si="4"/>
        <v>20.074760383386582</v>
      </c>
      <c r="H43" s="182">
        <f>(F43-91.75)*(16.44)+(F43-91.75)*(73%*8.22)+(91.75*11.25)</f>
        <v>7753.147200000001</v>
      </c>
      <c r="I43" s="130">
        <f t="shared" si="12"/>
        <v>0.35989422012407835</v>
      </c>
      <c r="J43" s="200"/>
      <c r="K43" s="233" t="s">
        <v>75</v>
      </c>
      <c r="L43" s="180"/>
      <c r="M43" s="180"/>
      <c r="N43" s="173"/>
      <c r="O43" s="226"/>
      <c r="P43" s="193"/>
      <c r="Q43" s="126"/>
      <c r="R43" s="227"/>
      <c r="S43" s="130"/>
    </row>
    <row r="44" spans="1:19" ht="15.75" thickBot="1">
      <c r="A44" s="102" t="s">
        <v>59</v>
      </c>
      <c r="B44" s="175">
        <v>12659</v>
      </c>
      <c r="C44" s="188">
        <v>5990</v>
      </c>
      <c r="D44" s="169">
        <f>C44/2</f>
        <v>2995</v>
      </c>
      <c r="E44" s="173">
        <f t="shared" si="11"/>
        <v>15654</v>
      </c>
      <c r="F44" s="163">
        <v>1262.75</v>
      </c>
      <c r="G44" s="123">
        <f t="shared" si="4"/>
        <v>12.396753118194416</v>
      </c>
      <c r="H44" s="182">
        <f>(F44-218.25)*(16.44)+(F44-218.25)*(73%*8.22)+(218.25*11.25)</f>
        <v>25894.519200000002</v>
      </c>
      <c r="I44" s="130">
        <f t="shared" si="12"/>
        <v>0.7413310453133596</v>
      </c>
      <c r="J44" s="200"/>
      <c r="K44" s="103" t="s">
        <v>104</v>
      </c>
      <c r="L44" s="180">
        <v>8686</v>
      </c>
      <c r="M44" s="180">
        <v>8265</v>
      </c>
      <c r="N44" s="181">
        <f>M44/4</f>
        <v>2066.25</v>
      </c>
      <c r="O44" s="181">
        <f>SUM(L44+N44)</f>
        <v>10752.25</v>
      </c>
      <c r="P44" s="194">
        <v>390.75</v>
      </c>
      <c r="Q44" s="126">
        <f>O44/P44</f>
        <v>27.516954574536147</v>
      </c>
      <c r="R44" s="182">
        <f>(P44-110)*(16.44)+(P44-110)*(73%*8.22)+(110*11.25)</f>
        <v>7537.698450000001</v>
      </c>
      <c r="S44" s="130">
        <f aca="true" t="shared" si="17" ref="S44:S51">R44/(L44*2.085+M44*1.425)</f>
        <v>0.25219870325601285</v>
      </c>
    </row>
    <row r="45" spans="1:19" ht="15.75" thickBot="1">
      <c r="A45" s="101" t="s">
        <v>102</v>
      </c>
      <c r="B45" s="175">
        <v>9373</v>
      </c>
      <c r="C45" s="188">
        <v>6851</v>
      </c>
      <c r="D45" s="169">
        <f t="shared" si="1"/>
        <v>1712.75</v>
      </c>
      <c r="E45" s="173">
        <f t="shared" si="11"/>
        <v>11085.75</v>
      </c>
      <c r="F45" s="163">
        <v>601.5</v>
      </c>
      <c r="G45" s="123">
        <f t="shared" si="4"/>
        <v>18.430174563591024</v>
      </c>
      <c r="H45" s="182">
        <f>(F45-72)*(16.44)+(F45-72)*(73%*8.22)+(72*11.25)+431.06</f>
        <v>13123.3577</v>
      </c>
      <c r="I45" s="130">
        <f t="shared" si="12"/>
        <v>0.4478139406484407</v>
      </c>
      <c r="J45" s="200"/>
      <c r="K45" s="102" t="s">
        <v>106</v>
      </c>
      <c r="L45" s="164">
        <v>7343</v>
      </c>
      <c r="M45" s="164">
        <v>7739</v>
      </c>
      <c r="N45" s="159">
        <f aca="true" t="shared" si="18" ref="N45:N51">M45/4</f>
        <v>1934.75</v>
      </c>
      <c r="O45" s="181">
        <f>SUM(L45+N45)</f>
        <v>9277.75</v>
      </c>
      <c r="P45" s="196">
        <v>389</v>
      </c>
      <c r="Q45" s="123">
        <f aca="true" t="shared" si="19" ref="Q45:Q51">O45/P45</f>
        <v>23.85025706940874</v>
      </c>
      <c r="R45" s="182">
        <f>(P45-25)*(16.44)+(P45-25)*(73%*8.22)+(31.5*11.25)</f>
        <v>8522.753400000001</v>
      </c>
      <c r="S45" s="130">
        <f t="shared" si="17"/>
        <v>0.3235886921786317</v>
      </c>
    </row>
    <row r="46" spans="1:19" ht="15.75" thickBot="1">
      <c r="A46" s="101" t="s">
        <v>72</v>
      </c>
      <c r="B46" s="175">
        <v>3075</v>
      </c>
      <c r="C46" s="188">
        <v>1311</v>
      </c>
      <c r="D46" s="169">
        <f t="shared" si="1"/>
        <v>327.75</v>
      </c>
      <c r="E46" s="173">
        <f t="shared" si="11"/>
        <v>3402.75</v>
      </c>
      <c r="F46" s="163">
        <v>445</v>
      </c>
      <c r="G46" s="123">
        <f t="shared" si="4"/>
        <v>7.646629213483146</v>
      </c>
      <c r="H46" s="182">
        <f>(F46-106)*(16.44)+(F46-106)*(73%*8.22)+(106.05*11.25)</f>
        <v>8800.425900000002</v>
      </c>
      <c r="I46" s="130">
        <f t="shared" si="12"/>
        <v>1.0629111364748087</v>
      </c>
      <c r="J46" s="200"/>
      <c r="K46" s="102" t="s">
        <v>107</v>
      </c>
      <c r="L46" s="164">
        <v>6222</v>
      </c>
      <c r="M46" s="164">
        <v>2351</v>
      </c>
      <c r="N46" s="159">
        <f t="shared" si="18"/>
        <v>587.75</v>
      </c>
      <c r="O46" s="181">
        <f>SUM(L46+N46)</f>
        <v>6809.75</v>
      </c>
      <c r="P46" s="195">
        <v>528.75</v>
      </c>
      <c r="Q46" s="123">
        <f t="shared" si="19"/>
        <v>12.878959810874704</v>
      </c>
      <c r="R46" s="182">
        <f>(P46-11.25)*(16.44)+(P46-11.25)*(73%*8.22)+(11.25*11.25)</f>
        <v>11739.573</v>
      </c>
      <c r="S46" s="130">
        <f t="shared" si="17"/>
        <v>0.7192023914655631</v>
      </c>
    </row>
    <row r="47" spans="1:19" ht="15.75" thickBot="1">
      <c r="A47" s="101" t="s">
        <v>58</v>
      </c>
      <c r="B47" s="175">
        <v>4590</v>
      </c>
      <c r="C47" s="188">
        <v>4419</v>
      </c>
      <c r="D47" s="169">
        <f t="shared" si="1"/>
        <v>1104.75</v>
      </c>
      <c r="E47" s="173">
        <f t="shared" si="11"/>
        <v>5694.75</v>
      </c>
      <c r="F47" s="163">
        <v>198</v>
      </c>
      <c r="G47" s="123">
        <f t="shared" si="4"/>
        <v>28.761363636363637</v>
      </c>
      <c r="H47" s="182">
        <f>(F47-93.5)*(16.44)+(F47-93.5)*(73%*8.22)+(93.5*11.25)</f>
        <v>3396.9177000000004</v>
      </c>
      <c r="I47" s="209">
        <f t="shared" si="12"/>
        <v>0.21408391826548126</v>
      </c>
      <c r="J47" s="200"/>
      <c r="K47" s="101" t="s">
        <v>109</v>
      </c>
      <c r="L47" s="164">
        <v>7378</v>
      </c>
      <c r="M47" s="164">
        <v>6613</v>
      </c>
      <c r="N47" s="159">
        <f t="shared" si="18"/>
        <v>1653.25</v>
      </c>
      <c r="O47" s="181">
        <f>SUM(L47+N47)</f>
        <v>9031.25</v>
      </c>
      <c r="P47" s="195">
        <v>365</v>
      </c>
      <c r="Q47" s="123">
        <f t="shared" si="19"/>
        <v>24.743150684931507</v>
      </c>
      <c r="R47" s="182">
        <f>(P47-57)*(16.44)+(P47-57)*(73%*8.22)+(57*11.25)+331.5</f>
        <v>7884.4548</v>
      </c>
      <c r="S47" s="130">
        <f t="shared" si="17"/>
        <v>0.3178362741772319</v>
      </c>
    </row>
    <row r="48" spans="1:19" ht="15.75" thickBot="1">
      <c r="A48" s="104" t="s">
        <v>14</v>
      </c>
      <c r="B48" s="190">
        <f>SUM(B2:B47)</f>
        <v>263130</v>
      </c>
      <c r="C48" s="190">
        <f>SUM(C2:C47)</f>
        <v>200188</v>
      </c>
      <c r="D48" s="190">
        <f>SUM(D2:D47)</f>
        <v>63680.5</v>
      </c>
      <c r="E48" s="235">
        <f>SUM(E2:E47)</f>
        <v>326080.5</v>
      </c>
      <c r="F48" s="192">
        <f>SUM(F2:F47)</f>
        <v>18714.5</v>
      </c>
      <c r="G48" s="150"/>
      <c r="H48" s="217">
        <f>SUM(H2:H47)</f>
        <v>400054.793237</v>
      </c>
      <c r="I48" s="210">
        <f>H48/D50</f>
        <v>0.47956941093749417</v>
      </c>
      <c r="J48" s="208"/>
      <c r="K48" s="101" t="s">
        <v>115</v>
      </c>
      <c r="L48" s="164">
        <v>7791</v>
      </c>
      <c r="M48" s="164">
        <v>5310</v>
      </c>
      <c r="N48" s="159">
        <f t="shared" si="18"/>
        <v>1327.5</v>
      </c>
      <c r="O48" s="181">
        <f>SUM(L48+N48)</f>
        <v>9118.5</v>
      </c>
      <c r="P48" s="195">
        <v>475.75</v>
      </c>
      <c r="Q48" s="123">
        <f t="shared" si="19"/>
        <v>19.16657908565423</v>
      </c>
      <c r="R48" s="182">
        <f>(P48-54.5)*(16.44)+(P48-54.5)*(73%*8.22)+(54.55*11.25)</f>
        <v>10066.79025</v>
      </c>
      <c r="S48" s="130">
        <f t="shared" si="17"/>
        <v>0.4227792445377627</v>
      </c>
    </row>
    <row r="49" spans="1:19" ht="17.25" customHeight="1" thickBot="1">
      <c r="A49" s="202" t="s">
        <v>82</v>
      </c>
      <c r="B49" s="190"/>
      <c r="C49" s="190"/>
      <c r="D49" s="190"/>
      <c r="E49" s="189"/>
      <c r="F49" s="192"/>
      <c r="G49" s="201"/>
      <c r="H49" s="216" t="s">
        <v>83</v>
      </c>
      <c r="I49" s="130" t="e">
        <f>H49/(B49*2.085+C49*1.425)</f>
        <v>#VALUE!</v>
      </c>
      <c r="J49" s="200"/>
      <c r="K49" s="102" t="s">
        <v>119</v>
      </c>
      <c r="L49" s="164">
        <v>8366</v>
      </c>
      <c r="M49" s="164">
        <v>7414</v>
      </c>
      <c r="N49" s="159">
        <f t="shared" si="18"/>
        <v>1853.5</v>
      </c>
      <c r="O49" s="181">
        <f>SUM(L49+N49)</f>
        <v>10219.5</v>
      </c>
      <c r="P49" s="195">
        <v>381</v>
      </c>
      <c r="Q49" s="123">
        <f t="shared" si="19"/>
        <v>26.822834645669293</v>
      </c>
      <c r="R49" s="182">
        <f>(P49-76.25)*(16.44)+(P49-76.25)*(73%*8.22)+(76.25*11.25)</f>
        <v>7696.58535</v>
      </c>
      <c r="S49" s="130">
        <f t="shared" si="17"/>
        <v>0.27479894537500993</v>
      </c>
    </row>
    <row r="50" spans="1:19" ht="15.75" thickBot="1">
      <c r="A50" s="238" t="s">
        <v>12</v>
      </c>
      <c r="B50" s="191">
        <f>B48*2.0852</f>
        <v>548678.676</v>
      </c>
      <c r="C50" s="191">
        <f>C48*1.426245</f>
        <v>285517.13406</v>
      </c>
      <c r="D50" s="219">
        <f>SUM(B50:C50)</f>
        <v>834195.81006</v>
      </c>
      <c r="E50" s="236"/>
      <c r="F50" s="114"/>
      <c r="G50" s="115">
        <f>E48/F48</f>
        <v>17.42394934409148</v>
      </c>
      <c r="H50" s="218">
        <v>492859.79</v>
      </c>
      <c r="I50" s="211">
        <f>H50/D50</f>
        <v>0.5908202655256093</v>
      </c>
      <c r="J50" s="200"/>
      <c r="K50" s="101" t="s">
        <v>99</v>
      </c>
      <c r="L50" s="175">
        <v>8165</v>
      </c>
      <c r="M50" s="188">
        <v>7969</v>
      </c>
      <c r="N50" s="169">
        <f t="shared" si="18"/>
        <v>1992.25</v>
      </c>
      <c r="O50" s="173">
        <f>SUM(L50+N50)</f>
        <v>10157.25</v>
      </c>
      <c r="P50" s="163">
        <v>475.75</v>
      </c>
      <c r="Q50" s="123">
        <f t="shared" si="19"/>
        <v>21.34997372569627</v>
      </c>
      <c r="R50" s="182">
        <f>(P50-3)*(16.44)+(P50-3)*(73%*8.22)+(3*11.25)+391.88</f>
        <v>11034.423649999999</v>
      </c>
      <c r="S50" s="130">
        <f t="shared" si="17"/>
        <v>0.38881190880149114</v>
      </c>
    </row>
    <row r="51" spans="10:19" ht="15.75" thickBot="1">
      <c r="J51" s="200"/>
      <c r="K51" s="101" t="s">
        <v>102</v>
      </c>
      <c r="L51" s="175">
        <v>9828</v>
      </c>
      <c r="M51" s="188">
        <v>7612</v>
      </c>
      <c r="N51" s="169">
        <f t="shared" si="18"/>
        <v>1903</v>
      </c>
      <c r="O51" s="173">
        <f>SUM(L51+N51)</f>
        <v>11731</v>
      </c>
      <c r="P51" s="163">
        <v>601.5</v>
      </c>
      <c r="Q51" s="123">
        <f t="shared" si="19"/>
        <v>19.502909393183707</v>
      </c>
      <c r="R51" s="182">
        <f>(P51-72)*(16.44)+(P51-72)*(73%*8.22)+(72*11.25)+431.06</f>
        <v>13123.3577</v>
      </c>
      <c r="S51" s="130">
        <f t="shared" si="17"/>
        <v>0.41876178104362427</v>
      </c>
    </row>
    <row r="52" spans="1:19" ht="15">
      <c r="A52" s="239" t="s">
        <v>137</v>
      </c>
      <c r="B52" s="7"/>
      <c r="C52" s="7"/>
      <c r="D52" s="7"/>
      <c r="E52" s="12">
        <v>295540</v>
      </c>
      <c r="F52" s="205">
        <v>2600</v>
      </c>
      <c r="G52" s="123">
        <f>E52/F52</f>
        <v>113.66923076923077</v>
      </c>
      <c r="H52" s="182">
        <f>(2282*23.02)+(165.5*11.25)+(152*23.02)</f>
        <v>57892.555</v>
      </c>
      <c r="I52" s="207">
        <f>H52/E52</f>
        <v>0.19588737565135006</v>
      </c>
      <c r="J52" s="200"/>
      <c r="K52" s="101"/>
      <c r="L52" s="164"/>
      <c r="M52" s="164"/>
      <c r="N52" s="169"/>
      <c r="O52" s="162"/>
      <c r="P52" s="163"/>
      <c r="Q52" s="123"/>
      <c r="R52" s="140"/>
      <c r="S52" s="128"/>
    </row>
    <row r="53" spans="1:19" ht="16.5" customHeight="1" thickBot="1">
      <c r="A53" s="154" t="s">
        <v>10</v>
      </c>
      <c r="B53" s="48"/>
      <c r="C53" s="48"/>
      <c r="D53" s="48"/>
      <c r="E53" s="48"/>
      <c r="F53" s="48"/>
      <c r="G53" s="48"/>
      <c r="H53" s="240">
        <f>SUM(H50:H52)</f>
        <v>550752.345</v>
      </c>
      <c r="I53" s="237">
        <f>H53/D50</f>
        <v>0.6602195052506759</v>
      </c>
      <c r="J53" s="20"/>
      <c r="K53" s="139" t="s">
        <v>7</v>
      </c>
      <c r="L53" s="164"/>
      <c r="M53" s="164"/>
      <c r="N53" s="169"/>
      <c r="O53" s="162"/>
      <c r="P53" s="160"/>
      <c r="Q53" s="123"/>
      <c r="R53" s="140"/>
      <c r="S53" s="128"/>
    </row>
    <row r="54" spans="9:19" ht="15.75" thickBot="1">
      <c r="I54" s="43" t="s">
        <v>9</v>
      </c>
      <c r="J54" s="48"/>
      <c r="K54" s="101" t="s">
        <v>73</v>
      </c>
      <c r="L54" s="164">
        <v>5091</v>
      </c>
      <c r="M54" s="164">
        <v>4927</v>
      </c>
      <c r="N54" s="159">
        <f>M54/4</f>
        <v>1231.75</v>
      </c>
      <c r="O54" s="181">
        <f>SUM(L54+N54)</f>
        <v>6322.75</v>
      </c>
      <c r="P54" s="195">
        <v>259.75</v>
      </c>
      <c r="Q54" s="123">
        <f>O54/P54</f>
        <v>24.34167468719923</v>
      </c>
      <c r="R54" s="182">
        <f>(P54-6.5)*(16.44)+(P54-6.5)*(73%*8.22)+(6.5*11.25)</f>
        <v>5756.206950000001</v>
      </c>
      <c r="S54" s="130">
        <f>R54/(L54*2.085+M54*1.425)</f>
        <v>0.3263949651020572</v>
      </c>
    </row>
    <row r="55" spans="10:19" ht="15.75" thickBot="1">
      <c r="J55" s="48"/>
      <c r="K55" s="102" t="s">
        <v>98</v>
      </c>
      <c r="L55" s="175">
        <v>7391</v>
      </c>
      <c r="M55" s="188">
        <v>6710</v>
      </c>
      <c r="N55" s="169">
        <f>M55/4</f>
        <v>1677.5</v>
      </c>
      <c r="O55" s="173">
        <f>SUM(L55+N55)</f>
        <v>9068.5</v>
      </c>
      <c r="P55" s="163">
        <v>227</v>
      </c>
      <c r="Q55" s="123">
        <f>O55/P55</f>
        <v>39.94933920704846</v>
      </c>
      <c r="R55" s="182">
        <f>(P55-98.5)*(16.44)+(P55-98.5)*(73%*8.22)+(98.5*11.25)+195.94</f>
        <v>4187.6821</v>
      </c>
      <c r="S55" s="130">
        <f>R55/(L55*2.085+M55*1.425)</f>
        <v>0.16769520324475606</v>
      </c>
    </row>
    <row r="56" spans="10:19" ht="15.75" thickBot="1">
      <c r="J56" s="48"/>
      <c r="K56" s="101" t="s">
        <v>72</v>
      </c>
      <c r="L56" s="175">
        <v>4850</v>
      </c>
      <c r="M56" s="188">
        <v>1049</v>
      </c>
      <c r="N56" s="169">
        <f>M56/4</f>
        <v>262.25</v>
      </c>
      <c r="O56" s="173">
        <f>SUM(L56+N56)</f>
        <v>5112.25</v>
      </c>
      <c r="P56" s="163">
        <v>445</v>
      </c>
      <c r="Q56" s="123">
        <f>O56/P56</f>
        <v>11.488202247191012</v>
      </c>
      <c r="R56" s="182">
        <f>(P56-106)*(16.44)+(P56-106)*(73%*8.22)+(106.05*11.25)</f>
        <v>8800.425900000002</v>
      </c>
      <c r="S56" s="130">
        <f>R56/(L56*2.085+M56*1.425)</f>
        <v>0.7581949716013726</v>
      </c>
    </row>
    <row r="57" spans="10:19" ht="15">
      <c r="J57" s="48"/>
      <c r="K57" s="101" t="s">
        <v>58</v>
      </c>
      <c r="L57" s="175">
        <v>4465</v>
      </c>
      <c r="M57" s="188">
        <v>4750</v>
      </c>
      <c r="N57" s="169">
        <f>M57/4</f>
        <v>1187.5</v>
      </c>
      <c r="O57" s="173">
        <f>SUM(L57+N57)</f>
        <v>5652.5</v>
      </c>
      <c r="P57" s="163">
        <v>198</v>
      </c>
      <c r="Q57" s="123">
        <f>O57/P57</f>
        <v>28.5479797979798</v>
      </c>
      <c r="R57" s="182">
        <f>(P57-93.5)*(16.44)+(P57-93.5)*(73%*8.22)+(93.5*11.25)</f>
        <v>3396.9177000000004</v>
      </c>
      <c r="S57" s="128">
        <f>R57/(L57*2.085+M57*1.425)</f>
        <v>0.21127376537594988</v>
      </c>
    </row>
    <row r="58" spans="10:17" ht="18">
      <c r="J58" s="91"/>
      <c r="K58" s="91" t="s">
        <v>50</v>
      </c>
      <c r="L58" s="75"/>
      <c r="M58" s="75"/>
      <c r="N58" s="75"/>
      <c r="O58" s="75"/>
      <c r="P58" s="206"/>
      <c r="Q58" s="78"/>
    </row>
    <row r="59" spans="10:11" ht="15">
      <c r="J59" s="92"/>
      <c r="K59" s="214" t="s">
        <v>51</v>
      </c>
    </row>
    <row r="60" spans="10:19" ht="15">
      <c r="J60" s="93"/>
      <c r="K60" s="215" t="s">
        <v>0</v>
      </c>
      <c r="R60" s="222"/>
      <c r="S60" s="223"/>
    </row>
    <row r="61" spans="7:19" ht="15">
      <c r="G61" s="49"/>
      <c r="J61" s="92"/>
      <c r="K61" s="214" t="s">
        <v>53</v>
      </c>
      <c r="R61" s="222"/>
      <c r="S61" s="223"/>
    </row>
    <row r="62" spans="6:19" ht="15">
      <c r="F62" s="49"/>
      <c r="G62" s="49"/>
      <c r="J62" s="92"/>
      <c r="K62" s="214" t="s">
        <v>57</v>
      </c>
      <c r="L62" s="92"/>
      <c r="M62" s="92"/>
      <c r="R62" s="222"/>
      <c r="S62" s="223"/>
    </row>
    <row r="63" spans="6:11" ht="15">
      <c r="F63" s="49"/>
      <c r="G63" s="49"/>
      <c r="J63" s="92"/>
      <c r="K63" s="214" t="s">
        <v>65</v>
      </c>
    </row>
    <row r="64" spans="6:11" ht="15">
      <c r="F64" s="49"/>
      <c r="G64" s="49"/>
      <c r="J64" s="92"/>
      <c r="K64" s="214" t="s">
        <v>66</v>
      </c>
    </row>
    <row r="65" ht="15">
      <c r="K65" s="212" t="s">
        <v>13</v>
      </c>
    </row>
    <row r="66" spans="11:16" ht="15">
      <c r="K66" s="213" t="s">
        <v>1</v>
      </c>
      <c r="P66" s="49"/>
    </row>
    <row r="67" ht="15">
      <c r="K67" s="92" t="s">
        <v>11</v>
      </c>
    </row>
  </sheetData>
  <printOptions/>
  <pageMargins left="0.2" right="0.2" top="0.5" bottom="0.5" header="0.05" footer="0"/>
  <pageSetup horizontalDpi="600" verticalDpi="600" orientation="landscape"/>
  <headerFooter alignWithMargins="0">
    <oddHeader>&amp;C&amp;14Meals Per Lbor Hour Calculation Work Sheet&amp;"-,Bold"   October  &amp;KFF00002012 -2013  SY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I1" sqref="I1"/>
    </sheetView>
  </sheetViews>
  <sheetFormatPr defaultColWidth="8.57421875" defaultRowHeight="15"/>
  <cols>
    <col min="1" max="1" width="35.57421875" style="43" customWidth="1"/>
    <col min="2" max="2" width="10.57421875" style="43" customWidth="1"/>
    <col min="3" max="3" width="10.28125" style="43" customWidth="1"/>
    <col min="4" max="4" width="11.57421875" style="43" customWidth="1"/>
    <col min="5" max="5" width="13.57421875" style="43" customWidth="1"/>
    <col min="6" max="6" width="11.28125" style="43" customWidth="1"/>
    <col min="7" max="7" width="12.421875" style="43" customWidth="1"/>
    <col min="8" max="8" width="12.57421875" style="43" customWidth="1"/>
    <col min="9" max="9" width="9.421875" style="43" customWidth="1"/>
    <col min="10" max="10" width="8.57421875" style="43" customWidth="1"/>
    <col min="11" max="11" width="35.57421875" style="43" customWidth="1"/>
    <col min="12" max="12" width="11.140625" style="43" customWidth="1"/>
    <col min="13" max="13" width="11.57421875" style="43" customWidth="1"/>
    <col min="14" max="14" width="10.140625" style="43" customWidth="1"/>
    <col min="15" max="15" width="9.00390625" style="43" customWidth="1"/>
    <col min="16" max="16" width="11.421875" style="43" customWidth="1"/>
    <col min="17" max="17" width="13.57421875" style="43" customWidth="1"/>
    <col min="18" max="18" width="11.00390625" style="43" customWidth="1"/>
    <col min="19" max="19" width="10.28125" style="43" customWidth="1"/>
    <col min="20" max="16384" width="8.57421875" style="43" customWidth="1"/>
  </cols>
  <sheetData>
    <row r="1" spans="1:19" ht="63.75" customHeight="1" thickBot="1">
      <c r="A1" s="68" t="s">
        <v>85</v>
      </c>
      <c r="B1" s="69" t="s">
        <v>87</v>
      </c>
      <c r="C1" s="69" t="s">
        <v>86</v>
      </c>
      <c r="D1" s="186" t="s">
        <v>80</v>
      </c>
      <c r="E1" s="70" t="s">
        <v>54</v>
      </c>
      <c r="F1" s="70" t="s">
        <v>96</v>
      </c>
      <c r="G1" s="71" t="s">
        <v>45</v>
      </c>
      <c r="H1" s="72" t="s">
        <v>48</v>
      </c>
      <c r="I1" s="72" t="s">
        <v>47</v>
      </c>
      <c r="J1" s="48" t="s">
        <v>64</v>
      </c>
      <c r="K1" s="2" t="s">
        <v>85</v>
      </c>
      <c r="L1" s="73" t="s">
        <v>87</v>
      </c>
      <c r="M1" s="73" t="s">
        <v>86</v>
      </c>
      <c r="N1" s="73" t="s">
        <v>79</v>
      </c>
      <c r="O1" s="1" t="s">
        <v>54</v>
      </c>
      <c r="P1" s="1" t="s">
        <v>96</v>
      </c>
      <c r="Q1" s="4" t="s">
        <v>45</v>
      </c>
      <c r="R1" s="58" t="s">
        <v>48</v>
      </c>
      <c r="S1" s="58" t="s">
        <v>47</v>
      </c>
    </row>
    <row r="2" spans="1:19" ht="15.75" thickBot="1">
      <c r="A2" s="103" t="s">
        <v>104</v>
      </c>
      <c r="B2" s="180">
        <v>9690</v>
      </c>
      <c r="C2" s="180">
        <v>9310</v>
      </c>
      <c r="D2" s="181">
        <f>C2/4</f>
        <v>2327.5</v>
      </c>
      <c r="E2" s="181">
        <f>SUM(B2+D2)</f>
        <v>12017.5</v>
      </c>
      <c r="F2" s="129">
        <v>371</v>
      </c>
      <c r="G2" s="126">
        <f>E2/F2</f>
        <v>32.392183288409704</v>
      </c>
      <c r="H2" s="182">
        <f>(F2-78)*(16.44)+(F2-78)*(73%*8.22)+(78*11.25)</f>
        <v>7452.5958</v>
      </c>
      <c r="I2" s="130">
        <f>H2/(B2*1.96+C2*1.36)</f>
        <v>0.23543930624881532</v>
      </c>
      <c r="J2" s="48"/>
      <c r="K2" s="142" t="s">
        <v>74</v>
      </c>
      <c r="L2" s="48"/>
      <c r="M2" s="48"/>
      <c r="N2" s="48"/>
      <c r="O2" s="48"/>
      <c r="P2" s="48"/>
      <c r="Q2" s="48"/>
      <c r="R2" s="48"/>
      <c r="S2" s="48"/>
    </row>
    <row r="3" spans="1:19" ht="15.75" thickBot="1">
      <c r="A3" s="101" t="s">
        <v>105</v>
      </c>
      <c r="B3" s="164">
        <v>7980</v>
      </c>
      <c r="C3" s="164">
        <v>6840</v>
      </c>
      <c r="D3" s="159">
        <f aca="true" t="shared" si="0" ref="D3:D47">C3/4</f>
        <v>1710</v>
      </c>
      <c r="E3" s="181">
        <f>SUM(B3+D3)</f>
        <v>9690</v>
      </c>
      <c r="F3" s="124">
        <v>301.3</v>
      </c>
      <c r="G3" s="123">
        <f>E3/F3</f>
        <v>32.16063723863259</v>
      </c>
      <c r="H3" s="182">
        <f>(F3-78)*(16.44)+(F3-78)*(73%*8.22)+(78*11.25)+371</f>
        <v>6259.485980000001</v>
      </c>
      <c r="I3" s="130">
        <f aca="true" t="shared" si="1" ref="I3:I32">H3/(B3*1.96+C3*1.36)</f>
        <v>0.25094959668366534</v>
      </c>
      <c r="J3" s="48"/>
      <c r="K3" s="102" t="s">
        <v>59</v>
      </c>
      <c r="L3" s="164">
        <v>14415</v>
      </c>
      <c r="M3" s="164">
        <v>6460</v>
      </c>
      <c r="N3" s="168">
        <f aca="true" t="shared" si="2" ref="N3:N9">M3/2</f>
        <v>3230</v>
      </c>
      <c r="O3" s="118">
        <f aca="true" t="shared" si="3" ref="O3:O12">SUM(L3+N3)</f>
        <v>17645</v>
      </c>
      <c r="P3" s="123">
        <v>1125</v>
      </c>
      <c r="Q3" s="11">
        <f aca="true" t="shared" si="4" ref="Q3:Q12">O3/P3</f>
        <v>15.684444444444445</v>
      </c>
      <c r="R3" s="140">
        <f>(P3-207)*(16.44)+(P3-207)*(73%*8.22)+(207*11.25)</f>
        <v>22929.220800000003</v>
      </c>
      <c r="S3" s="59">
        <f aca="true" t="shared" si="5" ref="S3:S12">R3/(L3*1.96+M3*1.36)</f>
        <v>0.619056151623964</v>
      </c>
    </row>
    <row r="4" spans="1:19" ht="15.75" thickBot="1">
      <c r="A4" s="102" t="s">
        <v>106</v>
      </c>
      <c r="B4" s="164">
        <v>7410</v>
      </c>
      <c r="C4" s="164">
        <v>6840</v>
      </c>
      <c r="D4" s="159">
        <f t="shared" si="0"/>
        <v>1710</v>
      </c>
      <c r="E4" s="181">
        <f>SUM(B4+D4)</f>
        <v>9120</v>
      </c>
      <c r="F4" s="124">
        <v>395</v>
      </c>
      <c r="G4" s="123">
        <f aca="true" t="shared" si="6" ref="G4:G47">E4/F4</f>
        <v>23.088607594936708</v>
      </c>
      <c r="H4" s="182">
        <f>(F4-31.5)*(16.44)+(F4-31.5)*(73%*8.22)+(31.5*11.25)+67</f>
        <v>8578.5331</v>
      </c>
      <c r="I4" s="130">
        <f t="shared" si="1"/>
        <v>0.360049236128599</v>
      </c>
      <c r="J4" s="48"/>
      <c r="K4" s="102" t="s">
        <v>126</v>
      </c>
      <c r="L4" s="164">
        <v>9168</v>
      </c>
      <c r="M4" s="164">
        <v>2515</v>
      </c>
      <c r="N4" s="168">
        <f t="shared" si="2"/>
        <v>1257.5</v>
      </c>
      <c r="O4" s="118">
        <f t="shared" si="3"/>
        <v>10425.5</v>
      </c>
      <c r="P4" s="159">
        <v>919.25</v>
      </c>
      <c r="Q4" s="11">
        <f t="shared" si="4"/>
        <v>11.341310851237422</v>
      </c>
      <c r="R4" s="140">
        <f>(P4-69.75)*(16.44)+(P4-69.75)*(73%*8.22)+(69.75*11.25)</f>
        <v>19847.9772</v>
      </c>
      <c r="S4" s="59">
        <f t="shared" si="5"/>
        <v>0.9279230544823486</v>
      </c>
    </row>
    <row r="5" spans="1:19" ht="15.75" thickBot="1">
      <c r="A5" s="102" t="s">
        <v>107</v>
      </c>
      <c r="B5" s="164">
        <v>6080</v>
      </c>
      <c r="C5" s="164">
        <v>2185</v>
      </c>
      <c r="D5" s="159">
        <f t="shared" si="0"/>
        <v>546.25</v>
      </c>
      <c r="E5" s="181">
        <f>SUM(B5+D5)</f>
        <v>6626.25</v>
      </c>
      <c r="F5" s="124">
        <v>499.5</v>
      </c>
      <c r="G5" s="123">
        <f t="shared" si="6"/>
        <v>13.265765765765765</v>
      </c>
      <c r="H5" s="182">
        <f>(F5-4)*(16.44)+(F5-4)*(73%*8.22)+(4*11.25)</f>
        <v>11164.3173</v>
      </c>
      <c r="I5" s="130">
        <f t="shared" si="1"/>
        <v>0.7498668292093174</v>
      </c>
      <c r="J5" s="48"/>
      <c r="K5" s="102" t="s">
        <v>136</v>
      </c>
      <c r="L5" s="164">
        <v>6551</v>
      </c>
      <c r="M5" s="164">
        <v>1490</v>
      </c>
      <c r="N5" s="168">
        <f t="shared" si="2"/>
        <v>745</v>
      </c>
      <c r="O5" s="118">
        <f t="shared" si="3"/>
        <v>7296</v>
      </c>
      <c r="P5" s="159">
        <v>590</v>
      </c>
      <c r="Q5" s="11">
        <f t="shared" si="4"/>
        <v>12.366101694915255</v>
      </c>
      <c r="R5" s="140">
        <f>(P5-51)*(16.44)+(P5-51)*(73%*8.22)+(51*11.25)</f>
        <v>12669.233400000001</v>
      </c>
      <c r="S5" s="59">
        <f t="shared" si="5"/>
        <v>0.8522081666258587</v>
      </c>
    </row>
    <row r="6" spans="1:19" ht="15.75" thickBot="1">
      <c r="A6" s="102" t="s">
        <v>108</v>
      </c>
      <c r="B6" s="164">
        <v>8360</v>
      </c>
      <c r="C6" s="164">
        <v>6270</v>
      </c>
      <c r="D6" s="159">
        <f t="shared" si="0"/>
        <v>1567.5</v>
      </c>
      <c r="E6" s="181">
        <f>SUM(B6+D6)</f>
        <v>9927.5</v>
      </c>
      <c r="F6" s="124">
        <v>361</v>
      </c>
      <c r="G6" s="123">
        <f t="shared" si="6"/>
        <v>27.5</v>
      </c>
      <c r="H6" s="182">
        <f>(F6*16.44)+(F6*73%*8.22)+371</f>
        <v>8472.0566</v>
      </c>
      <c r="I6" s="130">
        <f t="shared" si="1"/>
        <v>0.3400684226582319</v>
      </c>
      <c r="J6" s="48"/>
      <c r="K6" s="102" t="s">
        <v>133</v>
      </c>
      <c r="L6" s="164">
        <v>5494</v>
      </c>
      <c r="M6" s="164">
        <v>1125</v>
      </c>
      <c r="N6" s="168">
        <f t="shared" si="2"/>
        <v>562.5</v>
      </c>
      <c r="O6" s="118">
        <f t="shared" si="3"/>
        <v>6056.5</v>
      </c>
      <c r="P6" s="159">
        <v>743.8</v>
      </c>
      <c r="Q6" s="11">
        <f t="shared" si="4"/>
        <v>8.142645872546384</v>
      </c>
      <c r="R6" s="140">
        <f>(P6-60)*(16.44)+(P6-60)*(73%*8.22)+(60*11.25)</f>
        <v>16019.882280000002</v>
      </c>
      <c r="S6" s="59">
        <f t="shared" si="5"/>
        <v>1.30261584421836</v>
      </c>
    </row>
    <row r="7" spans="1:19" ht="15.75" thickBot="1">
      <c r="A7" s="101" t="s">
        <v>109</v>
      </c>
      <c r="B7" s="164">
        <v>6179</v>
      </c>
      <c r="C7" s="164">
        <v>6402</v>
      </c>
      <c r="D7" s="159">
        <f t="shared" si="0"/>
        <v>1600.5</v>
      </c>
      <c r="E7" s="181">
        <f aca="true" t="shared" si="7" ref="E7:E14">SUM(B7+D7)</f>
        <v>7779.5</v>
      </c>
      <c r="F7" s="124">
        <v>315</v>
      </c>
      <c r="G7" s="123">
        <f t="shared" si="6"/>
        <v>24.696825396825396</v>
      </c>
      <c r="H7" s="182">
        <f>(F7-21)*(16.44)+(F7-21)*(73%*8.22)+(21*11.25)+264</f>
        <v>7097.786400000001</v>
      </c>
      <c r="I7" s="130">
        <f t="shared" si="1"/>
        <v>0.340951888693968</v>
      </c>
      <c r="J7" s="48"/>
      <c r="K7" s="102" t="s">
        <v>135</v>
      </c>
      <c r="L7" s="164">
        <v>3230</v>
      </c>
      <c r="M7" s="164">
        <v>1330</v>
      </c>
      <c r="N7" s="168">
        <f t="shared" si="2"/>
        <v>665</v>
      </c>
      <c r="O7" s="118">
        <f t="shared" si="3"/>
        <v>3895</v>
      </c>
      <c r="P7" s="159">
        <v>589</v>
      </c>
      <c r="Q7" s="11">
        <f t="shared" si="4"/>
        <v>6.612903225806452</v>
      </c>
      <c r="R7" s="140">
        <f>(P7*16.44)+(P7*73%*8.22)</f>
        <v>13217.5134</v>
      </c>
      <c r="S7" s="59">
        <f t="shared" si="5"/>
        <v>1.6238529411764704</v>
      </c>
    </row>
    <row r="8" spans="1:19" ht="15.75" thickBot="1">
      <c r="A8" s="102" t="s">
        <v>68</v>
      </c>
      <c r="B8" s="164">
        <v>7376</v>
      </c>
      <c r="C8" s="164">
        <v>6590</v>
      </c>
      <c r="D8" s="159">
        <f t="shared" si="0"/>
        <v>1647.5</v>
      </c>
      <c r="E8" s="181">
        <f t="shared" si="7"/>
        <v>9023.5</v>
      </c>
      <c r="F8" s="124">
        <v>391.25</v>
      </c>
      <c r="G8" s="123">
        <f t="shared" si="6"/>
        <v>23.06325878594249</v>
      </c>
      <c r="H8" s="182">
        <f>(F8*16.44)+(F8*73%*8.22)+87</f>
        <v>8866.884750000001</v>
      </c>
      <c r="I8" s="130">
        <f t="shared" si="1"/>
        <v>0.3786134527160435</v>
      </c>
      <c r="J8" s="48"/>
      <c r="K8" s="102" t="s">
        <v>132</v>
      </c>
      <c r="L8" s="164">
        <v>2651</v>
      </c>
      <c r="M8" s="164">
        <v>1309</v>
      </c>
      <c r="N8" s="168">
        <f t="shared" si="2"/>
        <v>654.5</v>
      </c>
      <c r="O8" s="118">
        <f t="shared" si="3"/>
        <v>3305.5</v>
      </c>
      <c r="P8" s="159">
        <v>421.3</v>
      </c>
      <c r="Q8" s="11">
        <f t="shared" si="4"/>
        <v>7.845953002610966</v>
      </c>
      <c r="R8" s="140">
        <f>(P8-85)*(16.44)+(P8-85)*(73%*8.22)+(85*11.25)</f>
        <v>8503.023780000001</v>
      </c>
      <c r="S8" s="59">
        <f t="shared" si="5"/>
        <v>1.2188618130214157</v>
      </c>
    </row>
    <row r="9" spans="1:19" ht="15.75" thickBot="1">
      <c r="A9" s="101" t="s">
        <v>110</v>
      </c>
      <c r="B9" s="164">
        <v>3121</v>
      </c>
      <c r="C9" s="164">
        <v>3172</v>
      </c>
      <c r="D9" s="159">
        <f t="shared" si="0"/>
        <v>793</v>
      </c>
      <c r="E9" s="181">
        <f t="shared" si="7"/>
        <v>3914</v>
      </c>
      <c r="F9" s="124">
        <v>182.5</v>
      </c>
      <c r="G9" s="123">
        <f t="shared" si="6"/>
        <v>21.446575342465753</v>
      </c>
      <c r="H9" s="182">
        <f>(F9-23.5)*(16.44)+(F9-23.5)*(73%*8.22)+(23.5*11.25)+116</f>
        <v>3948.4304</v>
      </c>
      <c r="I9" s="130">
        <f t="shared" si="1"/>
        <v>0.3785255601529276</v>
      </c>
      <c r="J9" s="48"/>
      <c r="K9" s="102" t="s">
        <v>129</v>
      </c>
      <c r="L9" s="164">
        <v>2090</v>
      </c>
      <c r="M9" s="164">
        <v>836</v>
      </c>
      <c r="N9" s="168">
        <f t="shared" si="2"/>
        <v>418</v>
      </c>
      <c r="O9" s="118">
        <f t="shared" si="3"/>
        <v>2508</v>
      </c>
      <c r="P9" s="123">
        <v>368.25</v>
      </c>
      <c r="Q9" s="11">
        <f t="shared" si="4"/>
        <v>6.810590631364562</v>
      </c>
      <c r="R9" s="140">
        <f>(P9-24.25)*(16.44)+(P9-24.25)*(73%*8.22)+(24.25*11.25)</f>
        <v>7992.378900000001</v>
      </c>
      <c r="S9" s="59">
        <f t="shared" si="5"/>
        <v>1.5271983773331093</v>
      </c>
    </row>
    <row r="10" spans="1:19" ht="15.75" thickBot="1">
      <c r="A10" s="102" t="s">
        <v>111</v>
      </c>
      <c r="B10" s="164">
        <v>7300</v>
      </c>
      <c r="C10" s="164">
        <v>5130</v>
      </c>
      <c r="D10" s="159">
        <f t="shared" si="0"/>
        <v>1282.5</v>
      </c>
      <c r="E10" s="181">
        <f t="shared" si="7"/>
        <v>8582.5</v>
      </c>
      <c r="F10" s="124">
        <v>412.25</v>
      </c>
      <c r="G10" s="123">
        <f t="shared" si="6"/>
        <v>20.81867798665858</v>
      </c>
      <c r="H10" s="182">
        <f>(F10-3.25)*(16.44)+(F10-3.25)*(73%*8.22)+(3.25*11.25)</f>
        <v>9214.7679</v>
      </c>
      <c r="I10" s="130">
        <f t="shared" si="1"/>
        <v>0.43292715458919045</v>
      </c>
      <c r="J10" s="48"/>
      <c r="K10" s="102" t="s">
        <v>134</v>
      </c>
      <c r="L10" s="164">
        <v>2090</v>
      </c>
      <c r="M10" s="164">
        <v>1330</v>
      </c>
      <c r="N10" s="168">
        <f>M10/4</f>
        <v>332.5</v>
      </c>
      <c r="O10" s="118">
        <f t="shared" si="3"/>
        <v>2422.5</v>
      </c>
      <c r="P10" s="159">
        <v>281.25</v>
      </c>
      <c r="Q10" s="11">
        <f t="shared" si="4"/>
        <v>8.613333333333333</v>
      </c>
      <c r="R10" s="140">
        <f>(P10*16.44)+(P10*73%*8.22)</f>
        <v>6311.41875</v>
      </c>
      <c r="S10" s="59">
        <f t="shared" si="5"/>
        <v>1.0687900071123755</v>
      </c>
    </row>
    <row r="11" spans="1:19" ht="15.75" thickBot="1">
      <c r="A11" s="101" t="s">
        <v>67</v>
      </c>
      <c r="B11" s="164">
        <v>8445</v>
      </c>
      <c r="C11" s="164">
        <v>5537</v>
      </c>
      <c r="D11" s="159">
        <f t="shared" si="0"/>
        <v>1384.25</v>
      </c>
      <c r="E11" s="181">
        <f t="shared" si="7"/>
        <v>9829.25</v>
      </c>
      <c r="F11" s="124">
        <v>343.5</v>
      </c>
      <c r="G11" s="123">
        <f t="shared" si="6"/>
        <v>28.614992721979622</v>
      </c>
      <c r="H11" s="182">
        <f>(F11-77.5)*(16.44)+(F11-77.5)*(73%*8.22)+(77.5*11.25)+264</f>
        <v>7105.0746</v>
      </c>
      <c r="I11" s="130">
        <f t="shared" si="1"/>
        <v>0.295030362271058</v>
      </c>
      <c r="J11" s="48"/>
      <c r="K11" s="102" t="s">
        <v>61</v>
      </c>
      <c r="L11" s="164">
        <v>1884</v>
      </c>
      <c r="M11" s="164">
        <v>1330</v>
      </c>
      <c r="N11" s="168">
        <f>M11/4</f>
        <v>332.5</v>
      </c>
      <c r="O11" s="118">
        <f t="shared" si="3"/>
        <v>2216.5</v>
      </c>
      <c r="P11" s="123">
        <v>196.5</v>
      </c>
      <c r="Q11" s="11">
        <f t="shared" si="4"/>
        <v>11.279898218829517</v>
      </c>
      <c r="R11" s="140">
        <f>(P11-4)*(16.44)+(P11-4)*(73%*8.22)+(4*11.25)</f>
        <v>4364.815500000001</v>
      </c>
      <c r="S11" s="59">
        <f t="shared" si="5"/>
        <v>0.7933950929211261</v>
      </c>
    </row>
    <row r="12" spans="1:19" ht="15.75" thickBot="1">
      <c r="A12" s="101" t="s">
        <v>63</v>
      </c>
      <c r="B12" s="164">
        <v>10081</v>
      </c>
      <c r="C12" s="164">
        <v>9357</v>
      </c>
      <c r="D12" s="159">
        <f t="shared" si="0"/>
        <v>2339.25</v>
      </c>
      <c r="E12" s="181">
        <f t="shared" si="7"/>
        <v>12420.25</v>
      </c>
      <c r="F12" s="124">
        <v>497.8</v>
      </c>
      <c r="G12" s="123">
        <f t="shared" si="6"/>
        <v>24.950281237444756</v>
      </c>
      <c r="H12" s="182">
        <f>(F12-75)*(16.44)+(F12-75)*(73%*8.22)+(75*11.25)+264</f>
        <v>10595.635680000001</v>
      </c>
      <c r="I12" s="130">
        <f t="shared" si="1"/>
        <v>0.32617732884952355</v>
      </c>
      <c r="J12" s="48"/>
      <c r="K12" s="102" t="s">
        <v>131</v>
      </c>
      <c r="L12" s="164">
        <v>1532</v>
      </c>
      <c r="M12" s="164">
        <v>879</v>
      </c>
      <c r="N12" s="168">
        <f>M12/4</f>
        <v>219.75</v>
      </c>
      <c r="O12" s="118">
        <f t="shared" si="3"/>
        <v>1751.75</v>
      </c>
      <c r="P12" s="123">
        <v>238.05</v>
      </c>
      <c r="Q12" s="11">
        <f t="shared" si="4"/>
        <v>7.358748162150809</v>
      </c>
      <c r="R12" s="140">
        <f>(P12-34.25)*(16.44)+(P12-34.25)*(73%*8.22)+(34.25*11.25)</f>
        <v>4958.70678</v>
      </c>
      <c r="S12" s="59">
        <f t="shared" si="5"/>
        <v>1.181161932846771</v>
      </c>
    </row>
    <row r="13" spans="1:19" ht="15.75" thickBot="1">
      <c r="A13" s="102" t="s">
        <v>136</v>
      </c>
      <c r="B13" s="164">
        <v>6551</v>
      </c>
      <c r="C13" s="164">
        <v>1490</v>
      </c>
      <c r="D13" s="159">
        <f>C13/2</f>
        <v>745</v>
      </c>
      <c r="E13" s="181">
        <f t="shared" si="7"/>
        <v>7296</v>
      </c>
      <c r="F13" s="124">
        <v>590</v>
      </c>
      <c r="G13" s="123">
        <f t="shared" si="6"/>
        <v>12.366101694915255</v>
      </c>
      <c r="H13" s="182">
        <f>(F13-51)*(16.44)+(F13-51)*(73%*8.22)+(51*11.25)</f>
        <v>12669.233400000001</v>
      </c>
      <c r="I13" s="130">
        <f t="shared" si="1"/>
        <v>0.8522081666258587</v>
      </c>
      <c r="J13" s="48"/>
      <c r="K13" s="139" t="s">
        <v>75</v>
      </c>
      <c r="L13" s="164"/>
      <c r="M13" s="164"/>
      <c r="N13" s="168"/>
      <c r="O13" s="118"/>
      <c r="P13" s="120"/>
      <c r="Q13" s="123"/>
      <c r="R13" s="143"/>
      <c r="S13" s="59"/>
    </row>
    <row r="14" spans="1:19" ht="15">
      <c r="A14" s="101" t="s">
        <v>113</v>
      </c>
      <c r="B14" s="164">
        <v>6840</v>
      </c>
      <c r="C14" s="164">
        <v>4560</v>
      </c>
      <c r="D14" s="159">
        <f t="shared" si="0"/>
        <v>1140</v>
      </c>
      <c r="E14" s="181">
        <f t="shared" si="7"/>
        <v>7980</v>
      </c>
      <c r="F14" s="124">
        <v>366.75</v>
      </c>
      <c r="G14" s="123">
        <f t="shared" si="6"/>
        <v>21.75869120654397</v>
      </c>
      <c r="H14" s="182">
        <f>(F14-125.75)*(16.44)+(F14-124.75)*(73%*8.22)+(124.75*11.25)</f>
        <v>6817.622700000001</v>
      </c>
      <c r="I14" s="130">
        <f t="shared" si="1"/>
        <v>0.347695976132191</v>
      </c>
      <c r="J14" s="48"/>
      <c r="K14" s="101" t="s">
        <v>104</v>
      </c>
      <c r="L14" s="164">
        <v>9690</v>
      </c>
      <c r="M14" s="164">
        <v>9310</v>
      </c>
      <c r="N14" s="168">
        <f>M14/4</f>
        <v>2327.5</v>
      </c>
      <c r="O14" s="118">
        <f>SUM(L14+N14)</f>
        <v>12017.5</v>
      </c>
      <c r="P14" s="159">
        <v>371</v>
      </c>
      <c r="Q14" s="11">
        <f>O14/P14</f>
        <v>32.392183288409704</v>
      </c>
      <c r="R14" s="140">
        <f>(P14-78)*(16.44)+(P14-78)*(73%*8.22)+(78*11.25)</f>
        <v>7452.5958</v>
      </c>
      <c r="S14" s="59">
        <f>R14/(L14*1.96+M14*1.36)</f>
        <v>0.23543930624881532</v>
      </c>
    </row>
    <row r="15" spans="1:19" ht="15.75" thickBot="1">
      <c r="A15" s="102" t="s">
        <v>114</v>
      </c>
      <c r="B15" s="164">
        <v>0</v>
      </c>
      <c r="C15" s="164">
        <v>0</v>
      </c>
      <c r="D15" s="159">
        <f t="shared" si="0"/>
        <v>0</v>
      </c>
      <c r="E15" s="181">
        <v>0</v>
      </c>
      <c r="F15" s="124">
        <v>0</v>
      </c>
      <c r="G15" s="123">
        <v>0</v>
      </c>
      <c r="H15" s="185">
        <v>0</v>
      </c>
      <c r="I15" s="130">
        <v>0</v>
      </c>
      <c r="J15" s="20"/>
      <c r="K15" s="101" t="s">
        <v>102</v>
      </c>
      <c r="L15" s="164">
        <v>9310</v>
      </c>
      <c r="M15" s="164">
        <v>7410</v>
      </c>
      <c r="N15" s="168">
        <f>M15/4</f>
        <v>1852.5</v>
      </c>
      <c r="O15" s="118">
        <f>SUM(L15+N15)</f>
        <v>11162.5</v>
      </c>
      <c r="P15" s="123">
        <v>545.25</v>
      </c>
      <c r="Q15" s="11">
        <f>O15/P15</f>
        <v>20.472260430994957</v>
      </c>
      <c r="R15" s="140">
        <f>(P15-21.75)*(16.44)+(P15-21.75)*(73%*8.22)+(21.75*11.25)+363</f>
        <v>12355.3416</v>
      </c>
      <c r="S15" s="59">
        <f>R15/(L15*1.96+M15*1.36)</f>
        <v>0.4361960939375539</v>
      </c>
    </row>
    <row r="16" spans="1:19" ht="18" customHeight="1" thickBot="1">
      <c r="A16" s="101" t="s">
        <v>115</v>
      </c>
      <c r="B16" s="164">
        <v>6828</v>
      </c>
      <c r="C16" s="164">
        <v>4735</v>
      </c>
      <c r="D16" s="159">
        <f t="shared" si="0"/>
        <v>1183.75</v>
      </c>
      <c r="E16" s="181">
        <f aca="true" t="shared" si="8" ref="E16:E32">SUM(B16+D16)</f>
        <v>8011.75</v>
      </c>
      <c r="F16" s="124">
        <v>430.8</v>
      </c>
      <c r="G16" s="123">
        <f t="shared" si="6"/>
        <v>18.597376973073352</v>
      </c>
      <c r="H16" s="182">
        <f>(F16-44)*(16.44)+(F16-44)*(73%*8.22)+(44*11.25)+297</f>
        <v>9472.024080000001</v>
      </c>
      <c r="I16" s="130">
        <f t="shared" si="1"/>
        <v>0.4778425343347554</v>
      </c>
      <c r="J16" s="20"/>
      <c r="K16" s="102" t="s">
        <v>128</v>
      </c>
      <c r="L16" s="164">
        <v>8506</v>
      </c>
      <c r="M16" s="164">
        <v>4747</v>
      </c>
      <c r="N16" s="168">
        <f>M16/2</f>
        <v>2373.5</v>
      </c>
      <c r="O16" s="118">
        <f>SUM(L16+N16)</f>
        <v>10879.5</v>
      </c>
      <c r="P16" s="159">
        <v>546.8</v>
      </c>
      <c r="Q16" s="11">
        <f>O16/P16</f>
        <v>19.896671543525972</v>
      </c>
      <c r="R16" s="140">
        <f>(P16-7.5)*(16.44)+(P16-7.5)*(73%*8.22)+(7.5*11.25)+297</f>
        <v>12483.59058</v>
      </c>
      <c r="S16" s="59">
        <f>R16/(L16*1.96+M16*1.36)</f>
        <v>0.5397683892201899</v>
      </c>
    </row>
    <row r="17" spans="1:19" ht="15.75" thickBot="1">
      <c r="A17" s="101" t="s">
        <v>116</v>
      </c>
      <c r="B17" s="164">
        <v>6325</v>
      </c>
      <c r="C17" s="164">
        <v>4314</v>
      </c>
      <c r="D17" s="159">
        <f t="shared" si="0"/>
        <v>1078.5</v>
      </c>
      <c r="E17" s="181">
        <f t="shared" si="8"/>
        <v>7403.5</v>
      </c>
      <c r="F17" s="124">
        <v>304.5</v>
      </c>
      <c r="G17" s="123">
        <f t="shared" si="6"/>
        <v>24.313628899835795</v>
      </c>
      <c r="H17" s="182">
        <f>(F17-2.25)*(16.44)+(F17-2.25)*(73%*8.22)+(2.25*11.25)+314</f>
        <v>7121.9838500000005</v>
      </c>
      <c r="I17" s="130">
        <f t="shared" si="1"/>
        <v>0.38994569930858675</v>
      </c>
      <c r="J17" s="20"/>
      <c r="K17" s="102" t="s">
        <v>127</v>
      </c>
      <c r="L17" s="164">
        <v>7353</v>
      </c>
      <c r="M17" s="164">
        <v>7223</v>
      </c>
      <c r="N17" s="168">
        <f>M17/2</f>
        <v>3611.5</v>
      </c>
      <c r="O17" s="118">
        <f>SUM(L17+N17)</f>
        <v>10964.5</v>
      </c>
      <c r="P17" s="159">
        <v>578.25</v>
      </c>
      <c r="Q17" s="11">
        <f>O17/P17</f>
        <v>18.961521833117164</v>
      </c>
      <c r="R17" s="140">
        <f>(P17-47.25)*(16.44)+(P17-47.25)*(73%*8.22)+(47.25*11.25)+452</f>
        <v>12899.521100000002</v>
      </c>
      <c r="S17" s="59">
        <f>R17/(L17*1.96+M17*1.36)</f>
        <v>0.5322647385038928</v>
      </c>
    </row>
    <row r="18" spans="1:19" ht="15.75" thickBot="1">
      <c r="A18" s="101" t="s">
        <v>125</v>
      </c>
      <c r="B18" s="164">
        <v>11780</v>
      </c>
      <c r="C18" s="164">
        <v>10925</v>
      </c>
      <c r="D18" s="159">
        <f>C18/2</f>
        <v>5462.5</v>
      </c>
      <c r="E18" s="181">
        <f t="shared" si="8"/>
        <v>17242.5</v>
      </c>
      <c r="F18" s="124">
        <v>641.75</v>
      </c>
      <c r="G18" s="123">
        <f t="shared" si="6"/>
        <v>26.867939228671602</v>
      </c>
      <c r="H18" s="182">
        <f>(F18-49.75)*(16.44)+(F18-49.75)*(73%*8.22)+(49.75*11.25)+90</f>
        <v>13934.522700000001</v>
      </c>
      <c r="I18" s="130">
        <f t="shared" si="1"/>
        <v>0.3672120626772218</v>
      </c>
      <c r="J18" s="20"/>
      <c r="K18" s="101" t="s">
        <v>99</v>
      </c>
      <c r="L18" s="164">
        <v>7831</v>
      </c>
      <c r="M18" s="164">
        <v>7310</v>
      </c>
      <c r="N18" s="169">
        <f>M18/4</f>
        <v>1827.5</v>
      </c>
      <c r="O18" s="118">
        <f>SUM(L18+N18)</f>
        <v>9658.5</v>
      </c>
      <c r="P18" s="123">
        <v>447.75</v>
      </c>
      <c r="Q18" s="123">
        <f>O18/P18</f>
        <v>21.571189279731993</v>
      </c>
      <c r="R18" s="140">
        <f>(P18*16.44)+(P18*73%*8.22)+371</f>
        <v>10418.77865</v>
      </c>
      <c r="S18" s="128">
        <f>R18/(L18*1.96+M18*1.36)</f>
        <v>0.4119664034043011</v>
      </c>
    </row>
    <row r="19" spans="1:19" ht="15.75" thickBot="1">
      <c r="A19" s="101" t="s">
        <v>73</v>
      </c>
      <c r="B19" s="164">
        <v>3912</v>
      </c>
      <c r="C19" s="164">
        <v>2253</v>
      </c>
      <c r="D19" s="159">
        <f t="shared" si="0"/>
        <v>563.25</v>
      </c>
      <c r="E19" s="181">
        <f t="shared" si="8"/>
        <v>4475.25</v>
      </c>
      <c r="F19" s="124">
        <v>332.25</v>
      </c>
      <c r="G19" s="123">
        <f t="shared" si="6"/>
        <v>13.469525959367946</v>
      </c>
      <c r="H19" s="182">
        <f>(F19*16.44)+(F19*73%*8.22)</f>
        <v>7455.88935</v>
      </c>
      <c r="I19" s="130">
        <f t="shared" si="1"/>
        <v>0.6947602733981886</v>
      </c>
      <c r="J19" s="20"/>
      <c r="K19" s="102" t="s">
        <v>106</v>
      </c>
      <c r="L19" s="164">
        <v>7410</v>
      </c>
      <c r="M19" s="164">
        <v>6840</v>
      </c>
      <c r="N19" s="168">
        <f>M19/4</f>
        <v>1710</v>
      </c>
      <c r="O19" s="118">
        <f>SUM(L19+N19)</f>
        <v>9120</v>
      </c>
      <c r="P19" s="160">
        <v>395</v>
      </c>
      <c r="Q19" s="11">
        <f>O19/P19</f>
        <v>23.088607594936708</v>
      </c>
      <c r="R19" s="140">
        <f>(P19-31.5)*(16.44)+(P19-31.5)*(73%*8.22)+(31.5*11.25)+67</f>
        <v>8578.5331</v>
      </c>
      <c r="S19" s="59">
        <f>R19/(L19*1.96+M19*1.36)</f>
        <v>0.360049236128599</v>
      </c>
    </row>
    <row r="20" spans="1:19" ht="15.75" thickBot="1">
      <c r="A20" s="102" t="s">
        <v>132</v>
      </c>
      <c r="B20" s="164">
        <v>2651</v>
      </c>
      <c r="C20" s="164">
        <v>1309</v>
      </c>
      <c r="D20" s="159">
        <f>C20/2</f>
        <v>654.5</v>
      </c>
      <c r="E20" s="181">
        <f t="shared" si="8"/>
        <v>3305.5</v>
      </c>
      <c r="F20" s="124">
        <v>421.3</v>
      </c>
      <c r="G20" s="123">
        <f t="shared" si="6"/>
        <v>7.845953002610966</v>
      </c>
      <c r="H20" s="182">
        <f>(F20-85)*(16.44)+(F20-85)*(73%*8.22)+(85*11.25)</f>
        <v>8503.023780000001</v>
      </c>
      <c r="I20" s="130">
        <f t="shared" si="1"/>
        <v>1.2188618130214157</v>
      </c>
      <c r="J20" s="20"/>
      <c r="K20" s="102" t="s">
        <v>119</v>
      </c>
      <c r="L20" s="164">
        <v>6611</v>
      </c>
      <c r="M20" s="164">
        <v>5815</v>
      </c>
      <c r="N20" s="168">
        <f>M20/4</f>
        <v>1453.75</v>
      </c>
      <c r="O20" s="118">
        <f>SUM(L20+N20)</f>
        <v>8064.75</v>
      </c>
      <c r="P20" s="160">
        <v>357.05</v>
      </c>
      <c r="Q20" s="11">
        <f>O20/P20</f>
        <v>22.587172664892872</v>
      </c>
      <c r="R20" s="140">
        <f>(P20-63.25)*(16.44)+(P20-63.25)*(73%*8.22)+(63.25*11.25)</f>
        <v>7304.61078</v>
      </c>
      <c r="S20" s="59">
        <f>R20/(L20*1.96+M20*1.36)</f>
        <v>0.35007307499870605</v>
      </c>
    </row>
    <row r="21" spans="1:19" ht="15.75" thickBot="1">
      <c r="A21" s="102" t="s">
        <v>118</v>
      </c>
      <c r="B21" s="164">
        <v>7526</v>
      </c>
      <c r="C21" s="164">
        <v>5835</v>
      </c>
      <c r="D21" s="159">
        <f t="shared" si="0"/>
        <v>1458.75</v>
      </c>
      <c r="E21" s="181">
        <f t="shared" si="8"/>
        <v>8984.75</v>
      </c>
      <c r="F21" s="124">
        <v>376.75</v>
      </c>
      <c r="G21" s="123">
        <f t="shared" si="6"/>
        <v>23.848042468480426</v>
      </c>
      <c r="H21" s="182">
        <f>(F21-38.75)*(16.44)+(F21-38.75)*(73%*8.22)+(38.75*11.25)+254</f>
        <v>8274.8603</v>
      </c>
      <c r="I21" s="130">
        <f t="shared" si="1"/>
        <v>0.364747246828078</v>
      </c>
      <c r="J21" s="20"/>
      <c r="K21" s="101" t="s">
        <v>115</v>
      </c>
      <c r="L21" s="164">
        <v>6828</v>
      </c>
      <c r="M21" s="164">
        <v>4735</v>
      </c>
      <c r="N21" s="168">
        <f>M21/4</f>
        <v>1183.75</v>
      </c>
      <c r="O21" s="118">
        <f>SUM(L21+N21)</f>
        <v>8011.75</v>
      </c>
      <c r="P21" s="160">
        <v>430.8</v>
      </c>
      <c r="Q21" s="11">
        <f>O21/P21</f>
        <v>18.597376973073352</v>
      </c>
      <c r="R21" s="140">
        <f>(P21-44)*(16.44)+(P21-44)*(73%*8.22)+(44*11.25)+297</f>
        <v>9472.024080000001</v>
      </c>
      <c r="S21" s="59">
        <f>R21/(L21*1.96+M21*1.36)</f>
        <v>0.4778425343347554</v>
      </c>
    </row>
    <row r="22" spans="1:19" ht="15.75" thickBot="1">
      <c r="A22" s="102" t="s">
        <v>133</v>
      </c>
      <c r="B22" s="164">
        <v>5494</v>
      </c>
      <c r="C22" s="164">
        <v>1125</v>
      </c>
      <c r="D22" s="159">
        <f>C22/2</f>
        <v>562.5</v>
      </c>
      <c r="E22" s="181">
        <f t="shared" si="8"/>
        <v>6056.5</v>
      </c>
      <c r="F22" s="124">
        <v>743.8</v>
      </c>
      <c r="G22" s="123">
        <f t="shared" si="6"/>
        <v>8.142645872546384</v>
      </c>
      <c r="H22" s="182">
        <f>(F22-60)*(16.44)+(F22-60)*(73%*8.22)+(60*11.25)</f>
        <v>16019.882280000002</v>
      </c>
      <c r="I22" s="130">
        <f t="shared" si="1"/>
        <v>1.30261584421836</v>
      </c>
      <c r="J22" s="20"/>
      <c r="K22" s="101" t="s">
        <v>109</v>
      </c>
      <c r="L22" s="164">
        <v>6179</v>
      </c>
      <c r="M22" s="164">
        <v>6402</v>
      </c>
      <c r="N22" s="168">
        <f>M22/4</f>
        <v>1600.5</v>
      </c>
      <c r="O22" s="118">
        <f>SUM(L22+N22)</f>
        <v>7779.5</v>
      </c>
      <c r="P22" s="160">
        <v>315</v>
      </c>
      <c r="Q22" s="11">
        <f>O22/P22</f>
        <v>24.696825396825396</v>
      </c>
      <c r="R22" s="140">
        <f>(P22-21)*(16.44)+(P22-21)*(73%*8.22)+(21*11.25)+264</f>
        <v>7097.786400000001</v>
      </c>
      <c r="S22" s="59">
        <f>R22/(L22*1.96+M22*1.36)</f>
        <v>0.340951888693968</v>
      </c>
    </row>
    <row r="23" spans="1:19" ht="15.75" thickBot="1">
      <c r="A23" s="102" t="s">
        <v>134</v>
      </c>
      <c r="B23" s="164">
        <v>2090</v>
      </c>
      <c r="C23" s="164">
        <v>1330</v>
      </c>
      <c r="D23" s="159">
        <f t="shared" si="0"/>
        <v>332.5</v>
      </c>
      <c r="E23" s="181">
        <f t="shared" si="8"/>
        <v>2422.5</v>
      </c>
      <c r="F23" s="124">
        <v>281.25</v>
      </c>
      <c r="G23" s="123">
        <f t="shared" si="6"/>
        <v>8.613333333333333</v>
      </c>
      <c r="H23" s="182">
        <f>(F23*16.44)+(F23*73%*8.22)</f>
        <v>6311.41875</v>
      </c>
      <c r="I23" s="130">
        <f t="shared" si="1"/>
        <v>1.0687900071123755</v>
      </c>
      <c r="J23" s="20"/>
      <c r="K23" s="102" t="s">
        <v>107</v>
      </c>
      <c r="L23" s="164">
        <v>6080</v>
      </c>
      <c r="M23" s="164">
        <v>2185</v>
      </c>
      <c r="N23" s="168">
        <f>M23/4</f>
        <v>546.25</v>
      </c>
      <c r="O23" s="118">
        <f>SUM(L23+N23)</f>
        <v>6626.25</v>
      </c>
      <c r="P23" s="160">
        <v>499.5</v>
      </c>
      <c r="Q23" s="11">
        <f>O23/P23</f>
        <v>13.265765765765765</v>
      </c>
      <c r="R23" s="140">
        <f>(P23-4)*(16.44)+(P23-4)*(73%*8.22)+(4*11.25)</f>
        <v>11164.3173</v>
      </c>
      <c r="S23" s="59">
        <f>R23/(L23*1.96+M23*1.36)</f>
        <v>0.7498668292093174</v>
      </c>
    </row>
    <row r="24" spans="1:19" ht="15.75" thickBot="1">
      <c r="A24" s="102" t="s">
        <v>126</v>
      </c>
      <c r="B24" s="164">
        <v>9168</v>
      </c>
      <c r="C24" s="164">
        <v>2515</v>
      </c>
      <c r="D24" s="159">
        <f>C24/2</f>
        <v>1257.5</v>
      </c>
      <c r="E24" s="181">
        <f t="shared" si="8"/>
        <v>10425.5</v>
      </c>
      <c r="F24" s="124">
        <v>919.25</v>
      </c>
      <c r="G24" s="123">
        <f t="shared" si="6"/>
        <v>11.341310851237422</v>
      </c>
      <c r="H24" s="182">
        <f>(F24-69.75)*(16.44)+(F24-69.75)*(73%*8.22)+(69.75*11.25)</f>
        <v>19847.9772</v>
      </c>
      <c r="I24" s="130">
        <f t="shared" si="1"/>
        <v>0.9279230544823486</v>
      </c>
      <c r="J24" s="20"/>
      <c r="K24" s="101"/>
      <c r="L24" s="164"/>
      <c r="M24" s="164"/>
      <c r="N24" s="168"/>
      <c r="O24" s="118"/>
      <c r="P24" s="161"/>
      <c r="Q24" s="123"/>
      <c r="R24" s="143"/>
      <c r="S24" s="59"/>
    </row>
    <row r="25" spans="1:19" ht="15.75" thickBot="1">
      <c r="A25" s="102" t="s">
        <v>119</v>
      </c>
      <c r="B25" s="164">
        <v>6611</v>
      </c>
      <c r="C25" s="164">
        <v>5815</v>
      </c>
      <c r="D25" s="159">
        <f t="shared" si="0"/>
        <v>1453.75</v>
      </c>
      <c r="E25" s="181">
        <f t="shared" si="8"/>
        <v>8064.75</v>
      </c>
      <c r="F25" s="124">
        <v>357.05</v>
      </c>
      <c r="G25" s="123">
        <f t="shared" si="6"/>
        <v>22.587172664892872</v>
      </c>
      <c r="H25" s="182">
        <f>(F25-63.25)*(16.44)+(F25-63.25)*(73%*8.22)+(63.25*11.25)</f>
        <v>7304.61078</v>
      </c>
      <c r="I25" s="130">
        <f t="shared" si="1"/>
        <v>0.35007307499870605</v>
      </c>
      <c r="J25" s="48"/>
      <c r="K25" s="142" t="s">
        <v>76</v>
      </c>
      <c r="L25" s="165"/>
      <c r="M25" s="165"/>
      <c r="N25" s="170"/>
      <c r="O25" s="167"/>
      <c r="P25" s="54"/>
      <c r="Q25" s="20"/>
      <c r="R25" s="48"/>
      <c r="S25" s="48"/>
    </row>
    <row r="26" spans="1:19" ht="15.75" thickBot="1">
      <c r="A26" s="102" t="s">
        <v>120</v>
      </c>
      <c r="B26" s="164">
        <v>8291</v>
      </c>
      <c r="C26" s="164">
        <v>3630</v>
      </c>
      <c r="D26" s="159">
        <f t="shared" si="0"/>
        <v>907.5</v>
      </c>
      <c r="E26" s="181">
        <f t="shared" si="8"/>
        <v>9198.5</v>
      </c>
      <c r="F26" s="124">
        <v>378.25</v>
      </c>
      <c r="G26" s="123">
        <f t="shared" si="6"/>
        <v>24.31857237276933</v>
      </c>
      <c r="H26" s="182">
        <f>(F26-10.25)*(16.44)+(F26-10.25)*(73%*8.22)+(10.25*11.25)+99</f>
        <v>8472.453300000001</v>
      </c>
      <c r="I26" s="130">
        <f t="shared" si="1"/>
        <v>0.39988621882309855</v>
      </c>
      <c r="J26" s="20"/>
      <c r="K26" s="101" t="s">
        <v>125</v>
      </c>
      <c r="L26" s="164">
        <v>11780</v>
      </c>
      <c r="M26" s="164">
        <v>10925</v>
      </c>
      <c r="N26" s="169">
        <f>M26/2</f>
        <v>5462.5</v>
      </c>
      <c r="O26" s="118">
        <f>SUM(L26+N26)</f>
        <v>17242.5</v>
      </c>
      <c r="P26" s="160">
        <v>641.75</v>
      </c>
      <c r="Q26" s="123">
        <f>O26/P26</f>
        <v>26.867939228671602</v>
      </c>
      <c r="R26" s="140">
        <f>(P26-49.75)*(16.44)+(P26-49.75)*(73%*8.22)+(49.75*11.25)+90</f>
        <v>13934.522700000001</v>
      </c>
      <c r="S26" s="128">
        <f>R26/(L26*1.96+M26*1.36)</f>
        <v>0.3672120626772218</v>
      </c>
    </row>
    <row r="27" spans="1:19" ht="15.75" thickBot="1">
      <c r="A27" s="105" t="s">
        <v>121</v>
      </c>
      <c r="B27" s="164">
        <v>2423</v>
      </c>
      <c r="C27" s="164">
        <v>1681</v>
      </c>
      <c r="D27" s="159">
        <f t="shared" si="0"/>
        <v>420.25</v>
      </c>
      <c r="E27" s="181">
        <f t="shared" si="8"/>
        <v>2843.25</v>
      </c>
      <c r="F27" s="124">
        <v>243</v>
      </c>
      <c r="G27" s="123">
        <f t="shared" si="6"/>
        <v>11.700617283950617</v>
      </c>
      <c r="H27" s="182">
        <f>(F27-15)*(16.44)+(F27-15)*(73%*8.22)+(15*11.25)+264</f>
        <v>5549.2068</v>
      </c>
      <c r="I27" s="130">
        <f t="shared" si="1"/>
        <v>0.7887729203268119</v>
      </c>
      <c r="J27" s="20"/>
      <c r="K27" s="101" t="s">
        <v>63</v>
      </c>
      <c r="L27" s="164">
        <v>10081</v>
      </c>
      <c r="M27" s="164">
        <v>9357</v>
      </c>
      <c r="N27" s="169">
        <f>M27/4</f>
        <v>2339.25</v>
      </c>
      <c r="O27" s="118">
        <f>SUM(L27+N27)</f>
        <v>12420.25</v>
      </c>
      <c r="P27" s="160">
        <v>497.8</v>
      </c>
      <c r="Q27" s="123">
        <f>O27/P27</f>
        <v>24.950281237444756</v>
      </c>
      <c r="R27" s="140">
        <f>(P27-75)*(16.44)+(P27-75)*(73%*8.22)+(75*11.25)+264</f>
        <v>10595.635680000001</v>
      </c>
      <c r="S27" s="128">
        <f>R27/(L27*1.96+M27*1.36)</f>
        <v>0.32617732884952355</v>
      </c>
    </row>
    <row r="28" spans="1:19" ht="15.75" thickBot="1">
      <c r="A28" s="102" t="s">
        <v>127</v>
      </c>
      <c r="B28" s="164">
        <v>7353</v>
      </c>
      <c r="C28" s="164">
        <v>7223</v>
      </c>
      <c r="D28" s="159">
        <f>C28/2</f>
        <v>3611.5</v>
      </c>
      <c r="E28" s="181">
        <f t="shared" si="8"/>
        <v>10964.5</v>
      </c>
      <c r="F28" s="124">
        <v>578.25</v>
      </c>
      <c r="G28" s="123">
        <f t="shared" si="6"/>
        <v>18.961521833117164</v>
      </c>
      <c r="H28" s="182">
        <f>(F28-47.25)*(16.44)+(F28-47.25)*(73%*8.22)+(47.25*11.25)+452</f>
        <v>12899.521100000002</v>
      </c>
      <c r="I28" s="130">
        <f t="shared" si="1"/>
        <v>0.5322647385038928</v>
      </c>
      <c r="J28" s="20"/>
      <c r="K28" s="101" t="s">
        <v>62</v>
      </c>
      <c r="L28" s="164">
        <v>7465</v>
      </c>
      <c r="M28" s="164">
        <v>7600</v>
      </c>
      <c r="N28" s="169">
        <f>M28/2</f>
        <v>3800</v>
      </c>
      <c r="O28" s="118">
        <f>SUM(L28+N28)</f>
        <v>11265</v>
      </c>
      <c r="P28" s="123">
        <v>507</v>
      </c>
      <c r="Q28" s="123">
        <f>O28/P28</f>
        <v>22.218934911242602</v>
      </c>
      <c r="R28" s="140">
        <f>(P28-63.5)*(16.44)+(P28-63.5)*(73%*8.22)+(63.5*11.25)</f>
        <v>10666.7811</v>
      </c>
      <c r="S28" s="128">
        <f>R28/(L28*1.96+M28*1.36)</f>
        <v>0.4272283497680976</v>
      </c>
    </row>
    <row r="29" spans="1:19" ht="15.75" thickBot="1">
      <c r="A29" s="102" t="s">
        <v>69</v>
      </c>
      <c r="B29" s="164">
        <v>6190</v>
      </c>
      <c r="C29" s="164">
        <v>5800</v>
      </c>
      <c r="D29" s="159">
        <f t="shared" si="0"/>
        <v>1450</v>
      </c>
      <c r="E29" s="181">
        <f t="shared" si="8"/>
        <v>7640</v>
      </c>
      <c r="F29" s="124">
        <v>319.05</v>
      </c>
      <c r="G29" s="123">
        <f t="shared" si="6"/>
        <v>23.946089954552576</v>
      </c>
      <c r="H29" s="182">
        <f>(F29-48.25)*(16.44)+(F29-48.25)*(73%*8.22)+(48.25*11.25)+297</f>
        <v>6916.72698</v>
      </c>
      <c r="I29" s="130">
        <f t="shared" si="1"/>
        <v>0.3454839553655272</v>
      </c>
      <c r="J29" s="20"/>
      <c r="K29" s="102" t="s">
        <v>108</v>
      </c>
      <c r="L29" s="164">
        <v>8360</v>
      </c>
      <c r="M29" s="164">
        <v>6270</v>
      </c>
      <c r="N29" s="169">
        <f>M29/4</f>
        <v>1567.5</v>
      </c>
      <c r="O29" s="118">
        <f>SUM(L29+N29)</f>
        <v>9927.5</v>
      </c>
      <c r="P29" s="159">
        <v>361</v>
      </c>
      <c r="Q29" s="123">
        <f>O29/P29</f>
        <v>27.5</v>
      </c>
      <c r="R29" s="140">
        <f>(P29*16.44)+(P29*73%*8.22)+371</f>
        <v>8472.0566</v>
      </c>
      <c r="S29" s="128">
        <f>R29/(L29*1.96+M29*1.36)</f>
        <v>0.3400684226582319</v>
      </c>
    </row>
    <row r="30" spans="1:19" ht="15.75" thickBot="1">
      <c r="A30" s="102" t="s">
        <v>135</v>
      </c>
      <c r="B30" s="164">
        <v>3230</v>
      </c>
      <c r="C30" s="164">
        <v>1330</v>
      </c>
      <c r="D30" s="159">
        <f>C30/2</f>
        <v>665</v>
      </c>
      <c r="E30" s="181">
        <f t="shared" si="8"/>
        <v>3895</v>
      </c>
      <c r="F30" s="124">
        <v>589</v>
      </c>
      <c r="G30" s="123">
        <f t="shared" si="6"/>
        <v>6.612903225806452</v>
      </c>
      <c r="H30" s="182">
        <f>(F30*16.44)+(F30*73%*8.22)</f>
        <v>13217.5134</v>
      </c>
      <c r="I30" s="130">
        <f t="shared" si="1"/>
        <v>1.6238529411764704</v>
      </c>
      <c r="J30" s="20"/>
      <c r="K30" s="101" t="s">
        <v>67</v>
      </c>
      <c r="L30" s="164">
        <v>8445</v>
      </c>
      <c r="M30" s="164">
        <v>5537</v>
      </c>
      <c r="N30" s="169">
        <f>M30/4</f>
        <v>1384.25</v>
      </c>
      <c r="O30" s="118">
        <f>SUM(L30+N30)</f>
        <v>9829.25</v>
      </c>
      <c r="P30" s="159">
        <v>343.5</v>
      </c>
      <c r="Q30" s="123">
        <f>O30/P30</f>
        <v>28.614992721979622</v>
      </c>
      <c r="R30" s="140">
        <f>(P30-77.5)*(16.44)+(P30-77.5)*(73%*8.22)+(77.5*11.25)+264</f>
        <v>7105.0746</v>
      </c>
      <c r="S30" s="128">
        <f>R30/(L30*1.96+M30*1.36)</f>
        <v>0.295030362271058</v>
      </c>
    </row>
    <row r="31" spans="1:19" ht="15.75" thickBot="1">
      <c r="A31" s="102" t="s">
        <v>70</v>
      </c>
      <c r="B31" s="164">
        <v>3801</v>
      </c>
      <c r="C31" s="164">
        <v>3721</v>
      </c>
      <c r="D31" s="159">
        <f t="shared" si="0"/>
        <v>930.25</v>
      </c>
      <c r="E31" s="181">
        <f t="shared" si="8"/>
        <v>4731.25</v>
      </c>
      <c r="F31" s="124">
        <v>148.5</v>
      </c>
      <c r="G31" s="123">
        <f t="shared" si="6"/>
        <v>31.86026936026936</v>
      </c>
      <c r="H31" s="182">
        <f>(F31-44)*(16.44)+(F31-44)*(73%*8.22)+(44*11.25)+213</f>
        <v>3053.0427000000004</v>
      </c>
      <c r="I31" s="130">
        <f t="shared" si="1"/>
        <v>0.2440380335909299</v>
      </c>
      <c r="J31" s="20"/>
      <c r="K31" s="101" t="s">
        <v>105</v>
      </c>
      <c r="L31" s="164">
        <v>7980</v>
      </c>
      <c r="M31" s="164">
        <v>6840</v>
      </c>
      <c r="N31" s="169">
        <f>M31/4</f>
        <v>1710</v>
      </c>
      <c r="O31" s="118">
        <f>SUM(L31+N31)</f>
        <v>9690</v>
      </c>
      <c r="P31" s="159">
        <v>301.3</v>
      </c>
      <c r="Q31" s="123">
        <f>O31/P31</f>
        <v>32.16063723863259</v>
      </c>
      <c r="R31" s="140">
        <f>(P31-78)*(16.44)+(P31-78)*(73%*8.22)+(78*11.25)+371</f>
        <v>6259.485980000001</v>
      </c>
      <c r="S31" s="128">
        <f>R31/(L31*1.96+M31*1.36)</f>
        <v>0.25094959668366534</v>
      </c>
    </row>
    <row r="32" spans="1:19" ht="17.25" customHeight="1">
      <c r="A32" s="102" t="s">
        <v>128</v>
      </c>
      <c r="B32" s="164">
        <v>8506</v>
      </c>
      <c r="C32" s="164">
        <v>4747</v>
      </c>
      <c r="D32" s="159">
        <f>C32/2</f>
        <v>2373.5</v>
      </c>
      <c r="E32" s="159">
        <f t="shared" si="8"/>
        <v>10879.5</v>
      </c>
      <c r="F32" s="124">
        <v>546.8</v>
      </c>
      <c r="G32" s="123">
        <f t="shared" si="6"/>
        <v>19.896671543525972</v>
      </c>
      <c r="H32" s="182">
        <f>(F32-7.5)*(16.44)+(F32-7.5)*(73%*8.22)+(7.5*11.25)+297</f>
        <v>12483.59058</v>
      </c>
      <c r="I32" s="128">
        <f t="shared" si="1"/>
        <v>0.5397683892201899</v>
      </c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76.5" customHeight="1" thickBot="1">
      <c r="A33" s="144" t="s">
        <v>85</v>
      </c>
      <c r="B33" s="131" t="s">
        <v>87</v>
      </c>
      <c r="C33" s="131" t="s">
        <v>86</v>
      </c>
      <c r="D33" s="117" t="s">
        <v>80</v>
      </c>
      <c r="E33" s="117" t="s">
        <v>54</v>
      </c>
      <c r="F33" s="117" t="s">
        <v>55</v>
      </c>
      <c r="G33" s="145" t="s">
        <v>46</v>
      </c>
      <c r="H33" s="132" t="s">
        <v>48</v>
      </c>
      <c r="I33" s="146" t="s">
        <v>47</v>
      </c>
      <c r="J33" s="48"/>
      <c r="K33" s="134" t="s">
        <v>85</v>
      </c>
      <c r="L33" s="135" t="s">
        <v>87</v>
      </c>
      <c r="M33" s="135" t="s">
        <v>86</v>
      </c>
      <c r="N33" s="135" t="s">
        <v>94</v>
      </c>
      <c r="O33" s="136" t="s">
        <v>54</v>
      </c>
      <c r="P33" s="136" t="s">
        <v>96</v>
      </c>
      <c r="Q33" s="137" t="s">
        <v>45</v>
      </c>
      <c r="R33" s="138" t="s">
        <v>48</v>
      </c>
      <c r="S33" s="138" t="s">
        <v>47</v>
      </c>
    </row>
    <row r="34" spans="1:19" ht="15.75" thickBot="1">
      <c r="A34" s="119" t="s">
        <v>129</v>
      </c>
      <c r="B34" s="174">
        <v>2090</v>
      </c>
      <c r="C34" s="174">
        <v>836</v>
      </c>
      <c r="D34" s="173">
        <f>C34/2</f>
        <v>418</v>
      </c>
      <c r="E34" s="173">
        <f aca="true" t="shared" si="9" ref="E34:E47">SUM(B34+D34)</f>
        <v>2508</v>
      </c>
      <c r="F34" s="126">
        <v>368.25</v>
      </c>
      <c r="G34" s="126">
        <f t="shared" si="6"/>
        <v>6.810590631364562</v>
      </c>
      <c r="H34" s="182">
        <f>(F34-24.25)*(16.44)+(F34-24.25)*(73%*8.22)+(24.25*11.25)</f>
        <v>7992.378900000001</v>
      </c>
      <c r="I34" s="147">
        <f>H34/(B34*1.96+C34*1.36)</f>
        <v>1.5271983773331093</v>
      </c>
      <c r="J34" s="20"/>
      <c r="K34" s="139" t="s">
        <v>77</v>
      </c>
      <c r="L34" s="20"/>
      <c r="M34" s="20"/>
      <c r="N34" s="127"/>
      <c r="O34" s="118"/>
      <c r="P34" s="133"/>
      <c r="Q34" s="123"/>
      <c r="R34" s="140"/>
      <c r="S34" s="128"/>
    </row>
    <row r="35" spans="1:19" ht="15.75" thickBot="1">
      <c r="A35" s="102" t="s">
        <v>130</v>
      </c>
      <c r="B35" s="175"/>
      <c r="C35" s="175"/>
      <c r="D35" s="169"/>
      <c r="E35" s="173">
        <f t="shared" si="9"/>
        <v>0</v>
      </c>
      <c r="F35" s="123">
        <v>0</v>
      </c>
      <c r="G35" s="123">
        <v>0</v>
      </c>
      <c r="H35" s="182">
        <v>0</v>
      </c>
      <c r="I35" s="148"/>
      <c r="J35" s="20"/>
      <c r="K35" s="101" t="s">
        <v>71</v>
      </c>
      <c r="L35" s="164">
        <v>6965</v>
      </c>
      <c r="M35" s="164">
        <v>5376</v>
      </c>
      <c r="N35" s="169">
        <f>M35/2</f>
        <v>2688</v>
      </c>
      <c r="O35" s="162">
        <f>SUM(L35+N35)</f>
        <v>9653</v>
      </c>
      <c r="P35" s="163">
        <v>422.75</v>
      </c>
      <c r="Q35" s="123">
        <f>O35/P35</f>
        <v>22.833826138379656</v>
      </c>
      <c r="R35" s="140">
        <f>(P35-33.25)*(16.44)+(P35-33.25)*(73%*8.22)+(33.25*11.25)+371</f>
        <v>9485.6762</v>
      </c>
      <c r="S35" s="128">
        <f>R35/(L35*1.96+M35*1.36)</f>
        <v>0.45250130230942864</v>
      </c>
    </row>
    <row r="36" spans="1:19" ht="15.75" thickBot="1">
      <c r="A36" s="102" t="s">
        <v>61</v>
      </c>
      <c r="B36" s="175">
        <v>1884</v>
      </c>
      <c r="C36" s="175">
        <v>1330</v>
      </c>
      <c r="D36" s="169">
        <f t="shared" si="0"/>
        <v>332.5</v>
      </c>
      <c r="E36" s="173">
        <f t="shared" si="9"/>
        <v>2216.5</v>
      </c>
      <c r="F36" s="123">
        <v>196.5</v>
      </c>
      <c r="G36" s="123">
        <f t="shared" si="6"/>
        <v>11.279898218829517</v>
      </c>
      <c r="H36" s="182">
        <f>(F36-4)*(16.44)+(F36-4)*(73%*8.22)+(4*11.25)</f>
        <v>4364.815500000001</v>
      </c>
      <c r="I36" s="148">
        <f aca="true" t="shared" si="10" ref="I36:I47">H36/(B36*1.96+C36*1.36)</f>
        <v>0.7933950929211261</v>
      </c>
      <c r="J36" s="20"/>
      <c r="K36" s="102" t="s">
        <v>120</v>
      </c>
      <c r="L36" s="164">
        <v>8291</v>
      </c>
      <c r="M36" s="164">
        <v>3630</v>
      </c>
      <c r="N36" s="169">
        <f>M36/4</f>
        <v>907.5</v>
      </c>
      <c r="O36" s="162">
        <f>SUM(L36+N36)</f>
        <v>9198.5</v>
      </c>
      <c r="P36" s="160">
        <v>378.25</v>
      </c>
      <c r="Q36" s="123">
        <f>O36/P36</f>
        <v>24.31857237276933</v>
      </c>
      <c r="R36" s="140">
        <f>(P36-10.25)*(16.44)+(P36-10.25)*(73%*8.22)+(10.25*11.25)+99</f>
        <v>8472.453300000001</v>
      </c>
      <c r="S36" s="128">
        <f>R36/(L36*1.96+M36*1.36)</f>
        <v>0.39988621882309855</v>
      </c>
    </row>
    <row r="37" spans="1:19" ht="15.75" thickBot="1">
      <c r="A37" s="105" t="s">
        <v>97</v>
      </c>
      <c r="B37" s="175">
        <v>4160</v>
      </c>
      <c r="C37" s="175">
        <v>1995</v>
      </c>
      <c r="D37" s="169">
        <f t="shared" si="0"/>
        <v>498.75</v>
      </c>
      <c r="E37" s="173">
        <f t="shared" si="9"/>
        <v>4658.75</v>
      </c>
      <c r="F37" s="123">
        <v>138.8</v>
      </c>
      <c r="G37" s="123">
        <f t="shared" si="6"/>
        <v>33.56448126801153</v>
      </c>
      <c r="H37" s="182">
        <f>(F37-20)*(16.44)+(F37-20)*(73%*8.22)+(20*11.25)+116</f>
        <v>3006.9432800000004</v>
      </c>
      <c r="I37" s="148">
        <f t="shared" si="10"/>
        <v>0.2767091765745206</v>
      </c>
      <c r="J37" s="20"/>
      <c r="K37" s="102" t="s">
        <v>68</v>
      </c>
      <c r="L37" s="164">
        <v>7376</v>
      </c>
      <c r="M37" s="164">
        <v>6590</v>
      </c>
      <c r="N37" s="169">
        <f>M37/4</f>
        <v>1647.5</v>
      </c>
      <c r="O37" s="162">
        <f>SUM(L37+N37)</f>
        <v>9023.5</v>
      </c>
      <c r="P37" s="160">
        <v>391.25</v>
      </c>
      <c r="Q37" s="123">
        <f>O37/P37</f>
        <v>23.06325878594249</v>
      </c>
      <c r="R37" s="140">
        <f>(P37*16.44)+(P37*73%*8.22)+87</f>
        <v>8866.884750000001</v>
      </c>
      <c r="S37" s="128">
        <f>R37/(L37*1.96+M37*1.36)</f>
        <v>0.3786134527160435</v>
      </c>
    </row>
    <row r="38" spans="1:19" ht="15.75" thickBot="1">
      <c r="A38" s="102" t="s">
        <v>131</v>
      </c>
      <c r="B38" s="175">
        <v>1532</v>
      </c>
      <c r="C38" s="175">
        <v>879</v>
      </c>
      <c r="D38" s="169">
        <f t="shared" si="0"/>
        <v>219.75</v>
      </c>
      <c r="E38" s="173">
        <f t="shared" si="9"/>
        <v>1751.75</v>
      </c>
      <c r="F38" s="123">
        <v>238.05</v>
      </c>
      <c r="G38" s="123">
        <f t="shared" si="6"/>
        <v>7.358748162150809</v>
      </c>
      <c r="H38" s="182">
        <f>(F38-34.25)*(16.44)+(F38-34.25)*(73%*8.22)+(34.25*11.25)</f>
        <v>4958.70678</v>
      </c>
      <c r="I38" s="148">
        <f t="shared" si="10"/>
        <v>1.181161932846771</v>
      </c>
      <c r="J38" s="48"/>
      <c r="K38" s="102" t="s">
        <v>118</v>
      </c>
      <c r="L38" s="164">
        <v>7526</v>
      </c>
      <c r="M38" s="164">
        <v>5835</v>
      </c>
      <c r="N38" s="169">
        <f>M38/4</f>
        <v>1458.75</v>
      </c>
      <c r="O38" s="162">
        <f>SUM(L38+N38)</f>
        <v>8984.75</v>
      </c>
      <c r="P38" s="160">
        <v>376.75</v>
      </c>
      <c r="Q38" s="123">
        <f>O38/P38</f>
        <v>23.848042468480426</v>
      </c>
      <c r="R38" s="140">
        <f>(P38-38.75)*(16.44)+(P38-38.75)*(73%*8.22)+(38.75*11.25)+254</f>
        <v>8274.8603</v>
      </c>
      <c r="S38" s="128">
        <f>R38/(L38*1.96+M38*1.36)</f>
        <v>0.364747246828078</v>
      </c>
    </row>
    <row r="39" spans="1:19" ht="15.75" thickBot="1">
      <c r="A39" s="102" t="s">
        <v>98</v>
      </c>
      <c r="B39" s="175">
        <v>7225</v>
      </c>
      <c r="C39" s="175">
        <v>6762</v>
      </c>
      <c r="D39" s="169">
        <f t="shared" si="0"/>
        <v>1690.5</v>
      </c>
      <c r="E39" s="173">
        <f t="shared" si="9"/>
        <v>8915.5</v>
      </c>
      <c r="F39" s="123">
        <v>212.75</v>
      </c>
      <c r="G39" s="123">
        <f t="shared" si="6"/>
        <v>41.90599294947121</v>
      </c>
      <c r="H39" s="182">
        <f>(F39-91.75)*(16.44)+(F39-91.75)*(73%*8.22)+(91.75*11.25)+186</f>
        <v>3933.5001</v>
      </c>
      <c r="I39" s="148">
        <f t="shared" si="10"/>
        <v>0.1684054549066417</v>
      </c>
      <c r="J39" s="20"/>
      <c r="K39" s="101" t="s">
        <v>100</v>
      </c>
      <c r="L39" s="164">
        <v>7200</v>
      </c>
      <c r="M39" s="164">
        <v>6480</v>
      </c>
      <c r="N39" s="169">
        <f>M39/4</f>
        <v>1620</v>
      </c>
      <c r="O39" s="162">
        <f>SUM(L39+N39)</f>
        <v>8820</v>
      </c>
      <c r="P39" s="163">
        <v>383.8</v>
      </c>
      <c r="Q39" s="123">
        <f>O39/P39</f>
        <v>22.980719124544034</v>
      </c>
      <c r="R39" s="140">
        <f>(P39-97)*(16.44)+(P39-97)*(73%*8.22)+(97*11.25)</f>
        <v>7527.214080000001</v>
      </c>
      <c r="S39" s="128">
        <f>R39/(L39*1.96+M39*1.36)</f>
        <v>0.3283437185929648</v>
      </c>
    </row>
    <row r="40" spans="1:19" ht="15.75" thickBot="1">
      <c r="A40" s="101" t="s">
        <v>62</v>
      </c>
      <c r="B40" s="175">
        <v>7465</v>
      </c>
      <c r="C40" s="175">
        <v>7600</v>
      </c>
      <c r="D40" s="169">
        <f>C40/2</f>
        <v>3800</v>
      </c>
      <c r="E40" s="173">
        <f t="shared" si="9"/>
        <v>11265</v>
      </c>
      <c r="F40" s="123">
        <v>507</v>
      </c>
      <c r="G40" s="123">
        <f t="shared" si="6"/>
        <v>22.218934911242602</v>
      </c>
      <c r="H40" s="182">
        <f>(F40-63.5)*(16.44)+(F40-63.5)*(73%*8.22)+(63.5*11.25)</f>
        <v>10666.7811</v>
      </c>
      <c r="I40" s="148">
        <f t="shared" si="10"/>
        <v>0.4272283497680976</v>
      </c>
      <c r="J40" s="20"/>
      <c r="K40" s="102" t="s">
        <v>111</v>
      </c>
      <c r="L40" s="164">
        <v>7300</v>
      </c>
      <c r="M40" s="164">
        <v>5130</v>
      </c>
      <c r="N40" s="169">
        <f>M40/4</f>
        <v>1282.5</v>
      </c>
      <c r="O40" s="162">
        <f>SUM(L40+N40)</f>
        <v>8582.5</v>
      </c>
      <c r="P40" s="160">
        <v>412.25</v>
      </c>
      <c r="Q40" s="123">
        <f>O40/P40</f>
        <v>20.81867798665858</v>
      </c>
      <c r="R40" s="140">
        <f>(P40-3.25)*(16.44)+(P40-3.25)*(73%*8.22)+(3.25*11.25)</f>
        <v>9214.7679</v>
      </c>
      <c r="S40" s="128">
        <f>R40/(L40*1.96+M40*1.36)</f>
        <v>0.43292715458919045</v>
      </c>
    </row>
    <row r="41" spans="1:19" ht="15.75" thickBot="1">
      <c r="A41" s="101" t="s">
        <v>71</v>
      </c>
      <c r="B41" s="175">
        <v>6965</v>
      </c>
      <c r="C41" s="175">
        <v>5376</v>
      </c>
      <c r="D41" s="169">
        <f>C41/2</f>
        <v>2688</v>
      </c>
      <c r="E41" s="173">
        <f t="shared" si="9"/>
        <v>9653</v>
      </c>
      <c r="F41" s="123">
        <v>422.75</v>
      </c>
      <c r="G41" s="123">
        <f t="shared" si="6"/>
        <v>22.833826138379656</v>
      </c>
      <c r="H41" s="182">
        <f>(F41-33.25)*(16.44)+(F41-33.25)*(73%*8.22)+(33.25*11.25)+371</f>
        <v>9485.6762</v>
      </c>
      <c r="I41" s="148">
        <f t="shared" si="10"/>
        <v>0.45250130230942864</v>
      </c>
      <c r="J41" s="48"/>
      <c r="K41" s="101" t="s">
        <v>113</v>
      </c>
      <c r="L41" s="164">
        <v>6840</v>
      </c>
      <c r="M41" s="164">
        <v>4560</v>
      </c>
      <c r="N41" s="169">
        <f>M41/4</f>
        <v>1140</v>
      </c>
      <c r="O41" s="162">
        <f>SUM(L41+N41)</f>
        <v>7980</v>
      </c>
      <c r="P41" s="160">
        <v>366.75</v>
      </c>
      <c r="Q41" s="123">
        <f>O41/P41</f>
        <v>21.75869120654397</v>
      </c>
      <c r="R41" s="140">
        <f>(P41-125.75)*(16.44)+(P41-124.75)*(73%*8.22)+(124.75*11.25)</f>
        <v>6817.622700000001</v>
      </c>
      <c r="S41" s="128">
        <f>R41/(L41*1.96+M41*1.36)</f>
        <v>0.347695976132191</v>
      </c>
    </row>
    <row r="42" spans="1:19" ht="15.75" thickBot="1">
      <c r="A42" s="101" t="s">
        <v>99</v>
      </c>
      <c r="B42" s="175">
        <v>7831</v>
      </c>
      <c r="C42" s="175">
        <v>7310</v>
      </c>
      <c r="D42" s="169">
        <f t="shared" si="0"/>
        <v>1827.5</v>
      </c>
      <c r="E42" s="173">
        <f t="shared" si="9"/>
        <v>9658.5</v>
      </c>
      <c r="F42" s="123">
        <v>447.75</v>
      </c>
      <c r="G42" s="123">
        <f t="shared" si="6"/>
        <v>21.571189279731993</v>
      </c>
      <c r="H42" s="182">
        <f>(F42*16.44)+(F42*73%*8.22)+371</f>
        <v>10418.77865</v>
      </c>
      <c r="I42" s="148">
        <f t="shared" si="10"/>
        <v>0.4119664034043011</v>
      </c>
      <c r="J42" s="20"/>
      <c r="K42" s="102" t="s">
        <v>69</v>
      </c>
      <c r="L42" s="164">
        <v>6190</v>
      </c>
      <c r="M42" s="164">
        <v>5800</v>
      </c>
      <c r="N42" s="169">
        <f aca="true" t="shared" si="11" ref="N42:N47">M42/4</f>
        <v>1450</v>
      </c>
      <c r="O42" s="162">
        <f>SUM(L42+N42)</f>
        <v>7640</v>
      </c>
      <c r="P42" s="160">
        <v>319.05</v>
      </c>
      <c r="Q42" s="123">
        <f aca="true" t="shared" si="12" ref="Q42:Q47">O42/P42</f>
        <v>23.946089954552576</v>
      </c>
      <c r="R42" s="140">
        <f>(P42-48.25)*(16.44)+(P42-48.25)*(73%*8.22)+(48.25*11.25)+297</f>
        <v>6916.72698</v>
      </c>
      <c r="S42" s="128">
        <f aca="true" t="shared" si="13" ref="S42:S47">R42/(L42*1.96+M42*1.36)</f>
        <v>0.3454839553655272</v>
      </c>
    </row>
    <row r="43" spans="1:19" ht="15.75" thickBot="1">
      <c r="A43" s="104" t="s">
        <v>100</v>
      </c>
      <c r="B43" s="175">
        <v>7200</v>
      </c>
      <c r="C43" s="175">
        <v>6480</v>
      </c>
      <c r="D43" s="169">
        <f t="shared" si="0"/>
        <v>1620</v>
      </c>
      <c r="E43" s="173">
        <f t="shared" si="9"/>
        <v>8820</v>
      </c>
      <c r="F43" s="123">
        <v>383.8</v>
      </c>
      <c r="G43" s="123">
        <f t="shared" si="6"/>
        <v>22.980719124544034</v>
      </c>
      <c r="H43" s="182">
        <f>(F43-97)*(16.44)+(F43-97)*(73%*8.22)+(97*11.25)</f>
        <v>7527.214080000001</v>
      </c>
      <c r="I43" s="148">
        <f t="shared" si="10"/>
        <v>0.3283437185929648</v>
      </c>
      <c r="J43" s="48"/>
      <c r="K43" s="101" t="s">
        <v>116</v>
      </c>
      <c r="L43" s="164">
        <v>6325</v>
      </c>
      <c r="M43" s="164">
        <v>4314</v>
      </c>
      <c r="N43" s="169">
        <f t="shared" si="11"/>
        <v>1078.5</v>
      </c>
      <c r="O43" s="162">
        <f>SUM(L43+N43)</f>
        <v>7403.5</v>
      </c>
      <c r="P43" s="160">
        <v>304.5</v>
      </c>
      <c r="Q43" s="123">
        <f t="shared" si="12"/>
        <v>24.313628899835795</v>
      </c>
      <c r="R43" s="140">
        <f>(P43-2.25)*(16.44)+(P43-2.25)*(73%*8.22)+(2.25*11.25)+314</f>
        <v>7121.9838500000005</v>
      </c>
      <c r="S43" s="128">
        <f t="shared" si="13"/>
        <v>0.38994569930858675</v>
      </c>
    </row>
    <row r="44" spans="1:19" ht="15.75" thickBot="1">
      <c r="A44" s="102" t="s">
        <v>59</v>
      </c>
      <c r="B44" s="175">
        <v>14415</v>
      </c>
      <c r="C44" s="175">
        <v>6460</v>
      </c>
      <c r="D44" s="169">
        <f>C44/2</f>
        <v>3230</v>
      </c>
      <c r="E44" s="173">
        <f t="shared" si="9"/>
        <v>17645</v>
      </c>
      <c r="F44" s="123">
        <v>1125</v>
      </c>
      <c r="G44" s="123">
        <f t="shared" si="6"/>
        <v>15.684444444444445</v>
      </c>
      <c r="H44" s="182">
        <f>(F44-207)*(16.44)+(F44-207)*(73%*8.22)+(207*11.25)</f>
        <v>22929.220800000003</v>
      </c>
      <c r="I44" s="148">
        <f t="shared" si="10"/>
        <v>0.619056151623964</v>
      </c>
      <c r="J44" s="20"/>
      <c r="K44" s="101" t="s">
        <v>72</v>
      </c>
      <c r="L44" s="164">
        <v>4750</v>
      </c>
      <c r="M44" s="164">
        <v>1140</v>
      </c>
      <c r="N44" s="169">
        <f t="shared" si="11"/>
        <v>285</v>
      </c>
      <c r="O44" s="162">
        <f>SUM(L44+N44)</f>
        <v>5035</v>
      </c>
      <c r="P44" s="163">
        <v>261.75</v>
      </c>
      <c r="Q44" s="123">
        <f t="shared" si="12"/>
        <v>19.23591212989494</v>
      </c>
      <c r="R44" s="140">
        <f>(P44-60.75)*(16.44)+(P44-60.75)*(73%*8.22)+(60.75*11.25)</f>
        <v>5193.9981</v>
      </c>
      <c r="S44" s="128">
        <f t="shared" si="13"/>
        <v>0.4782510865161504</v>
      </c>
    </row>
    <row r="45" spans="1:19" ht="15.75" thickBot="1">
      <c r="A45" s="101" t="s">
        <v>102</v>
      </c>
      <c r="B45" s="175">
        <v>9310</v>
      </c>
      <c r="C45" s="175">
        <v>7410</v>
      </c>
      <c r="D45" s="169">
        <f t="shared" si="0"/>
        <v>1852.5</v>
      </c>
      <c r="E45" s="173">
        <f t="shared" si="9"/>
        <v>11162.5</v>
      </c>
      <c r="F45" s="123">
        <v>545.25</v>
      </c>
      <c r="G45" s="123">
        <f t="shared" si="6"/>
        <v>20.472260430994957</v>
      </c>
      <c r="H45" s="182">
        <f>(F45-21.75)*(16.44)+(F45-21.75)*(73%*8.22)+(21.75*11.25)+363</f>
        <v>12355.3416</v>
      </c>
      <c r="I45" s="148">
        <f t="shared" si="10"/>
        <v>0.4361960939375539</v>
      </c>
      <c r="J45" s="20"/>
      <c r="K45" s="102" t="s">
        <v>70</v>
      </c>
      <c r="L45" s="164">
        <v>3801</v>
      </c>
      <c r="M45" s="164">
        <v>3721</v>
      </c>
      <c r="N45" s="169">
        <f t="shared" si="11"/>
        <v>930.25</v>
      </c>
      <c r="O45" s="162">
        <f>SUM(L45+N45)</f>
        <v>4731.25</v>
      </c>
      <c r="P45" s="160">
        <v>148.5</v>
      </c>
      <c r="Q45" s="123">
        <f t="shared" si="12"/>
        <v>31.86026936026936</v>
      </c>
      <c r="R45" s="140">
        <f>(P45-44)*(16.44)+(P45-44)*(73%*8.22)+(44*11.25)+213</f>
        <v>3053.0427000000004</v>
      </c>
      <c r="S45" s="128">
        <f t="shared" si="13"/>
        <v>0.2440380335909299</v>
      </c>
    </row>
    <row r="46" spans="1:19" ht="15.75" thickBot="1">
      <c r="A46" s="101" t="s">
        <v>72</v>
      </c>
      <c r="B46" s="175">
        <v>4750</v>
      </c>
      <c r="C46" s="175">
        <v>1140</v>
      </c>
      <c r="D46" s="169">
        <f t="shared" si="0"/>
        <v>285</v>
      </c>
      <c r="E46" s="173">
        <f t="shared" si="9"/>
        <v>5035</v>
      </c>
      <c r="F46" s="123">
        <v>261.75</v>
      </c>
      <c r="G46" s="123">
        <f t="shared" si="6"/>
        <v>19.23591212989494</v>
      </c>
      <c r="H46" s="182">
        <f>(F46-60.75)*(16.44)+(F46-60.75)*(73%*8.22)+(60.75*11.25)</f>
        <v>5193.9981</v>
      </c>
      <c r="I46" s="148">
        <f t="shared" si="10"/>
        <v>0.4782510865161504</v>
      </c>
      <c r="J46" s="48"/>
      <c r="K46" s="101" t="s">
        <v>110</v>
      </c>
      <c r="L46" s="164">
        <v>3121</v>
      </c>
      <c r="M46" s="164">
        <v>3172</v>
      </c>
      <c r="N46" s="169">
        <f t="shared" si="11"/>
        <v>793</v>
      </c>
      <c r="O46" s="162">
        <f>SUM(L46+N46)</f>
        <v>3914</v>
      </c>
      <c r="P46" s="160">
        <v>182.5</v>
      </c>
      <c r="Q46" s="123">
        <f t="shared" si="12"/>
        <v>21.446575342465753</v>
      </c>
      <c r="R46" s="140">
        <f>(P46-23.5)*(16.44)+(P46-23.5)*(73%*8.22)+(23.5*11.25)+116</f>
        <v>3948.4304</v>
      </c>
      <c r="S46" s="128">
        <f t="shared" si="13"/>
        <v>0.3785255601529276</v>
      </c>
    </row>
    <row r="47" spans="1:19" ht="15">
      <c r="A47" s="101" t="s">
        <v>58</v>
      </c>
      <c r="B47" s="175">
        <v>3690</v>
      </c>
      <c r="C47" s="175">
        <v>3551</v>
      </c>
      <c r="D47" s="169">
        <f t="shared" si="0"/>
        <v>887.75</v>
      </c>
      <c r="E47" s="173">
        <f t="shared" si="9"/>
        <v>4577.75</v>
      </c>
      <c r="F47" s="123">
        <v>179.25</v>
      </c>
      <c r="G47" s="123">
        <f t="shared" si="6"/>
        <v>25.538354253835426</v>
      </c>
      <c r="H47" s="182">
        <f>(F47-85.75)*(16.44)+(F47-85.75)*(73%*8.22)+(85.75*11.25)+129</f>
        <v>3191.8836</v>
      </c>
      <c r="I47" s="148">
        <f t="shared" si="10"/>
        <v>0.2646283461120102</v>
      </c>
      <c r="J47" s="20"/>
      <c r="K47" s="102" t="s">
        <v>121</v>
      </c>
      <c r="L47" s="164">
        <v>2423</v>
      </c>
      <c r="M47" s="164">
        <v>1681</v>
      </c>
      <c r="N47" s="169">
        <f t="shared" si="11"/>
        <v>420.25</v>
      </c>
      <c r="O47" s="162">
        <f>SUM(L47+N47)</f>
        <v>2843.25</v>
      </c>
      <c r="P47" s="160">
        <v>243</v>
      </c>
      <c r="Q47" s="123">
        <f t="shared" si="12"/>
        <v>11.700617283950617</v>
      </c>
      <c r="R47" s="140">
        <f>(P47-15)*(16.44)+(P47-15)*(73%*8.22)+(15*11.25)+264</f>
        <v>5549.2068</v>
      </c>
      <c r="S47" s="128">
        <f t="shared" si="13"/>
        <v>0.7887729203268119</v>
      </c>
    </row>
    <row r="48" spans="1:19" ht="15">
      <c r="A48" s="125"/>
      <c r="B48" s="177">
        <f>SUM(B2:B47)</f>
        <v>276109</v>
      </c>
      <c r="C48" s="177">
        <f>SUM(C2:C47)</f>
        <v>199100</v>
      </c>
      <c r="D48" s="176">
        <f>SUM(D2:D47)</f>
        <v>62509</v>
      </c>
      <c r="E48" s="176">
        <f>SUM(E2:E47)</f>
        <v>338618</v>
      </c>
      <c r="F48" s="149">
        <f>SUM(F2:F47)</f>
        <v>17665.299999999996</v>
      </c>
      <c r="G48" s="150"/>
      <c r="H48" s="183">
        <f>SUM(H2:H47)</f>
        <v>381105.91123000014</v>
      </c>
      <c r="I48" s="151"/>
      <c r="J48" s="48"/>
      <c r="K48" s="102"/>
      <c r="L48" s="164"/>
      <c r="M48" s="164"/>
      <c r="N48" s="169"/>
      <c r="O48" s="162"/>
      <c r="P48" s="118"/>
      <c r="Q48" s="123"/>
      <c r="R48" s="140"/>
      <c r="S48" s="128"/>
    </row>
    <row r="49" spans="1:19" ht="15.75" thickBot="1">
      <c r="A49" s="84" t="s">
        <v>49</v>
      </c>
      <c r="B49" s="178">
        <f>B48*1.96</f>
        <v>541173.64</v>
      </c>
      <c r="C49" s="178">
        <f>C48*1.36</f>
        <v>270776</v>
      </c>
      <c r="D49" s="179">
        <f>SUM(B49:C49)</f>
        <v>811949.64</v>
      </c>
      <c r="E49" s="115"/>
      <c r="F49" s="114"/>
      <c r="G49" s="115">
        <f>E48/F48</f>
        <v>19.168539453052034</v>
      </c>
      <c r="H49" s="184"/>
      <c r="I49" s="122">
        <f>H48/(B48*1.96+C48*1.36)</f>
        <v>0.4693713654827166</v>
      </c>
      <c r="J49" s="59"/>
      <c r="K49" s="141" t="s">
        <v>78</v>
      </c>
      <c r="L49" s="164"/>
      <c r="M49" s="164"/>
      <c r="N49" s="171"/>
      <c r="O49" s="166"/>
      <c r="P49" s="153"/>
      <c r="Q49" s="20"/>
      <c r="R49" s="20"/>
      <c r="S49" s="20"/>
    </row>
    <row r="50" spans="10:19" ht="15">
      <c r="J50" s="48"/>
      <c r="K50" s="102" t="s">
        <v>97</v>
      </c>
      <c r="L50" s="164">
        <v>4160</v>
      </c>
      <c r="M50" s="164">
        <v>1995</v>
      </c>
      <c r="N50" s="169">
        <f>M50/4</f>
        <v>498.75</v>
      </c>
      <c r="O50" s="162">
        <f>SUM(L50+N50)</f>
        <v>4658.75</v>
      </c>
      <c r="P50" s="163">
        <v>138.8</v>
      </c>
      <c r="Q50" s="123">
        <f>O50/P50</f>
        <v>33.56448126801153</v>
      </c>
      <c r="R50" s="140">
        <f>(P50-20)*(16.44)+(P50-20)*(73%*8.22)+(20*11.25)+116</f>
        <v>3006.9432800000004</v>
      </c>
      <c r="S50" s="128">
        <f>R50/(L50*1.96+M50*1.36)</f>
        <v>0.2767091765745206</v>
      </c>
    </row>
    <row r="51" spans="1:19" ht="15">
      <c r="A51" s="101" t="s">
        <v>137</v>
      </c>
      <c r="B51" s="7"/>
      <c r="C51" s="7"/>
      <c r="D51" s="7"/>
      <c r="E51" s="12">
        <v>275742</v>
      </c>
      <c r="F51" s="7">
        <v>2236.25</v>
      </c>
      <c r="G51" s="11">
        <f>E51/F51</f>
        <v>123.3055338177753</v>
      </c>
      <c r="H51" s="60"/>
      <c r="I51" s="121"/>
      <c r="J51" s="48"/>
      <c r="K51" s="102" t="s">
        <v>98</v>
      </c>
      <c r="L51" s="164">
        <v>7225</v>
      </c>
      <c r="M51" s="164">
        <v>6762</v>
      </c>
      <c r="N51" s="169">
        <f>M51/4</f>
        <v>1690.5</v>
      </c>
      <c r="O51" s="162">
        <f>SUM(L51+N51)</f>
        <v>8915.5</v>
      </c>
      <c r="P51" s="163">
        <v>212.75</v>
      </c>
      <c r="Q51" s="123">
        <f>O51/P51</f>
        <v>41.90599294947121</v>
      </c>
      <c r="R51" s="140">
        <f>(P51-91.75)*(16.44)+(P51-91.75)*(73%*8.22)+(91.75*11.25)+186</f>
        <v>3933.5001</v>
      </c>
      <c r="S51" s="128">
        <f>R51/(L51*1.96+M51*1.36)</f>
        <v>0.1684054549066417</v>
      </c>
    </row>
    <row r="52" spans="1:19" ht="18">
      <c r="A52" s="91" t="s">
        <v>50</v>
      </c>
      <c r="B52" s="75"/>
      <c r="C52" s="75"/>
      <c r="D52" s="75"/>
      <c r="E52" s="75"/>
      <c r="F52" s="75"/>
      <c r="G52" s="75"/>
      <c r="H52" s="75"/>
      <c r="I52" s="75"/>
      <c r="J52" s="20"/>
      <c r="K52" s="101" t="s">
        <v>58</v>
      </c>
      <c r="L52" s="164">
        <v>3690</v>
      </c>
      <c r="M52" s="164">
        <v>3551</v>
      </c>
      <c r="N52" s="169">
        <f>M52/4</f>
        <v>887.75</v>
      </c>
      <c r="O52" s="162">
        <f>SUM(L52+N52)</f>
        <v>4577.75</v>
      </c>
      <c r="P52" s="163">
        <v>179.25</v>
      </c>
      <c r="Q52" s="123">
        <f>O52/P52</f>
        <v>25.538354253835426</v>
      </c>
      <c r="R52" s="140">
        <f>(P52-85.75)*(16.44)+(P52-85.75)*(73%*8.22)+(85.75*11.25)+129</f>
        <v>3191.8836</v>
      </c>
      <c r="S52" s="128">
        <f>R52/(L52*1.96+M52*1.36)</f>
        <v>0.2646283461120102</v>
      </c>
    </row>
    <row r="53" spans="1:19" ht="15">
      <c r="A53" s="92" t="s">
        <v>51</v>
      </c>
      <c r="J53" s="48"/>
      <c r="K53" s="101" t="s">
        <v>73</v>
      </c>
      <c r="L53" s="164">
        <v>3912</v>
      </c>
      <c r="M53" s="164">
        <v>2253</v>
      </c>
      <c r="N53" s="169">
        <f>M53/4</f>
        <v>563.25</v>
      </c>
      <c r="O53" s="162">
        <f>SUM(L53+N53)</f>
        <v>4475.25</v>
      </c>
      <c r="P53" s="160">
        <v>332.25</v>
      </c>
      <c r="Q53" s="123">
        <f>O53/P53</f>
        <v>13.469525959367946</v>
      </c>
      <c r="R53" s="140">
        <f>(P53*16.44)+(P53*73%*8.22)</f>
        <v>7455.88935</v>
      </c>
      <c r="S53" s="128">
        <f>R53/(L53*1.96+M53*1.36)</f>
        <v>0.6947602733981886</v>
      </c>
    </row>
    <row r="54" spans="1:19" ht="15">
      <c r="A54" s="93" t="s">
        <v>52</v>
      </c>
      <c r="J54" s="48"/>
      <c r="K54" s="102" t="s">
        <v>114</v>
      </c>
      <c r="L54" s="164">
        <v>0</v>
      </c>
      <c r="M54" s="164">
        <v>0</v>
      </c>
      <c r="N54" s="169">
        <f>M54/4</f>
        <v>0</v>
      </c>
      <c r="O54" s="162">
        <v>0</v>
      </c>
      <c r="P54" s="133">
        <v>0</v>
      </c>
      <c r="Q54" s="123">
        <v>0</v>
      </c>
      <c r="R54" s="152">
        <v>0</v>
      </c>
      <c r="S54" s="128">
        <v>0</v>
      </c>
    </row>
    <row r="55" spans="1:19" ht="15">
      <c r="A55" s="92" t="s">
        <v>53</v>
      </c>
      <c r="J55" s="48"/>
      <c r="K55" s="154"/>
      <c r="L55" s="155">
        <f>SUM(L3:L54)</f>
        <v>276109</v>
      </c>
      <c r="M55" s="155">
        <f>SUM(M3:M54)</f>
        <v>199100</v>
      </c>
      <c r="N55" s="172">
        <f>SUM(N3:N54)</f>
        <v>62509</v>
      </c>
      <c r="O55" s="155">
        <f>SUM(O3:O54)</f>
        <v>338618</v>
      </c>
      <c r="P55" s="156">
        <f>SUM(P3:P54)</f>
        <v>17665.299999999996</v>
      </c>
      <c r="Q55" s="48"/>
      <c r="R55" s="157">
        <f>SUM(R3:R54)</f>
        <v>381105.91123</v>
      </c>
      <c r="S55" s="48"/>
    </row>
    <row r="56" spans="1:19" ht="15.75" thickBot="1">
      <c r="A56" s="92" t="s">
        <v>57</v>
      </c>
      <c r="B56" s="92"/>
      <c r="C56" s="92"/>
      <c r="K56" s="158"/>
      <c r="L56" s="112">
        <f>L55*1.96</f>
        <v>541173.64</v>
      </c>
      <c r="M56" s="112">
        <f>M55*1.36</f>
        <v>270776</v>
      </c>
      <c r="N56" s="113">
        <f>SUM(L56:M56)</f>
        <v>811949.64</v>
      </c>
      <c r="O56" s="158"/>
      <c r="P56" s="158"/>
      <c r="Q56" s="115">
        <f>O55/P55</f>
        <v>19.168539453052034</v>
      </c>
      <c r="R56" s="158"/>
      <c r="S56" s="122">
        <f>R55/N56</f>
        <v>0.4693713654827164</v>
      </c>
    </row>
    <row r="57" spans="1:11" ht="18.75" thickTop="1">
      <c r="A57" s="92" t="s">
        <v>65</v>
      </c>
      <c r="J57" s="91" t="s">
        <v>50</v>
      </c>
      <c r="K57" s="93"/>
    </row>
    <row r="58" spans="1:11" ht="15">
      <c r="A58" s="92" t="s">
        <v>66</v>
      </c>
      <c r="J58" s="92" t="s">
        <v>51</v>
      </c>
      <c r="K58" s="92"/>
    </row>
    <row r="59" spans="10:13" ht="15">
      <c r="J59" s="93" t="s">
        <v>52</v>
      </c>
      <c r="K59" s="92"/>
      <c r="L59" s="92"/>
      <c r="M59" s="92"/>
    </row>
    <row r="60" ht="15">
      <c r="J60" s="92" t="s">
        <v>53</v>
      </c>
    </row>
    <row r="61" ht="15">
      <c r="J61" s="92" t="s">
        <v>57</v>
      </c>
    </row>
    <row r="62" ht="15">
      <c r="J62" s="92" t="s">
        <v>65</v>
      </c>
    </row>
    <row r="63" ht="15">
      <c r="J63" s="92" t="s">
        <v>66</v>
      </c>
    </row>
  </sheetData>
  <printOptions/>
  <pageMargins left="0.2" right="0.2" top="0.5" bottom="0.5" header="0.05" footer="0"/>
  <pageSetup horizontalDpi="600" verticalDpi="600" orientation="landscape"/>
  <headerFooter alignWithMargins="0">
    <oddHeader>&amp;C&amp;14Meals Per Lbor Hour Calculation Work Sheet&amp;"-,Bold"   September   &amp;KFF00002012 -2013  SY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35">
      <selection activeCell="H48" sqref="H48"/>
    </sheetView>
  </sheetViews>
  <sheetFormatPr defaultColWidth="8.57421875" defaultRowHeight="15"/>
  <cols>
    <col min="1" max="1" width="36.7109375" style="43" customWidth="1"/>
    <col min="2" max="2" width="9.7109375" style="43" customWidth="1"/>
    <col min="3" max="3" width="9.140625" style="43" customWidth="1"/>
    <col min="4" max="4" width="10.421875" style="43" customWidth="1"/>
    <col min="5" max="5" width="13.28125" style="43" customWidth="1"/>
    <col min="6" max="6" width="11.7109375" style="43" customWidth="1"/>
    <col min="7" max="7" width="11.8515625" style="43" customWidth="1"/>
    <col min="8" max="8" width="13.8515625" style="43" customWidth="1"/>
    <col min="9" max="9" width="18.57421875" style="43" customWidth="1"/>
    <col min="10" max="10" width="36.140625" style="43" customWidth="1"/>
    <col min="11" max="18" width="11.00390625" style="43" customWidth="1"/>
    <col min="19" max="19" width="6.28125" style="43" customWidth="1"/>
    <col min="20" max="16384" width="8.57421875" style="43" customWidth="1"/>
  </cols>
  <sheetData>
    <row r="1" spans="1:18" ht="63.75" customHeight="1" thickBot="1">
      <c r="A1" s="68" t="s">
        <v>85</v>
      </c>
      <c r="B1" s="131" t="s">
        <v>87</v>
      </c>
      <c r="C1" s="131" t="s">
        <v>86</v>
      </c>
      <c r="D1" s="197" t="s">
        <v>80</v>
      </c>
      <c r="E1" s="198" t="s">
        <v>54</v>
      </c>
      <c r="F1" s="198" t="s">
        <v>96</v>
      </c>
      <c r="G1" s="71" t="s">
        <v>45</v>
      </c>
      <c r="H1" s="72" t="s">
        <v>48</v>
      </c>
      <c r="I1" s="72" t="s">
        <v>47</v>
      </c>
      <c r="J1" s="48" t="s">
        <v>85</v>
      </c>
      <c r="K1" s="73" t="s">
        <v>87</v>
      </c>
      <c r="L1" s="73" t="s">
        <v>86</v>
      </c>
      <c r="M1" s="73" t="s">
        <v>79</v>
      </c>
      <c r="N1" s="1" t="s">
        <v>54</v>
      </c>
      <c r="O1" s="1" t="s">
        <v>96</v>
      </c>
      <c r="P1" s="4" t="s">
        <v>45</v>
      </c>
      <c r="Q1" s="58" t="s">
        <v>48</v>
      </c>
      <c r="R1" s="58" t="s">
        <v>47</v>
      </c>
    </row>
    <row r="2" spans="1:18" ht="15.75" thickBot="1">
      <c r="A2" s="103" t="s">
        <v>104</v>
      </c>
      <c r="B2" s="180">
        <v>6589</v>
      </c>
      <c r="C2" s="180">
        <v>5249</v>
      </c>
      <c r="D2" s="181">
        <f>C2/4</f>
        <v>1312.25</v>
      </c>
      <c r="E2" s="181">
        <f>SUM(B2+D2)</f>
        <v>7901.25</v>
      </c>
      <c r="F2" s="194">
        <v>377.5</v>
      </c>
      <c r="G2" s="126">
        <f>E2/F2</f>
        <v>20.93046357615894</v>
      </c>
      <c r="H2" s="182">
        <f>(F2-128.75)*(16.44)+(F2-128.75)*(73%*8.22)+(128.75*11.25)</f>
        <v>7030.53675</v>
      </c>
      <c r="I2" s="130">
        <f>H2/(B2*2.0854+C2*1.426)</f>
        <v>0.33122639255765957</v>
      </c>
      <c r="J2" s="142" t="s">
        <v>74</v>
      </c>
      <c r="K2" s="48"/>
      <c r="L2" s="48"/>
      <c r="M2" s="48"/>
      <c r="N2" s="48"/>
      <c r="O2" s="48"/>
      <c r="P2" s="48"/>
      <c r="Q2" s="48"/>
      <c r="R2" s="48"/>
    </row>
    <row r="3" spans="1:18" ht="15.75" thickBot="1">
      <c r="A3" s="101" t="s">
        <v>105</v>
      </c>
      <c r="B3" s="164">
        <v>7154</v>
      </c>
      <c r="C3" s="164">
        <v>6177</v>
      </c>
      <c r="D3" s="159">
        <f aca="true" t="shared" si="0" ref="D3:D47">C3/4</f>
        <v>1544.25</v>
      </c>
      <c r="E3" s="181">
        <f>SUM(B3+D3)</f>
        <v>8698.25</v>
      </c>
      <c r="F3" s="195">
        <v>362.5</v>
      </c>
      <c r="G3" s="123">
        <f>E3/F3</f>
        <v>23.995172413793103</v>
      </c>
      <c r="H3" s="182">
        <f>(F3-114.25)*(16.44)+(F3-114.25)*(73%*8.22)+(114.25*11.25)+363</f>
        <v>7219.19145</v>
      </c>
      <c r="I3" s="130">
        <f aca="true" t="shared" si="1" ref="I3:I47">H3/(B3*2.0854+C3*1.426)</f>
        <v>0.30425607388427844</v>
      </c>
      <c r="J3" s="102" t="s">
        <v>59</v>
      </c>
      <c r="K3" s="164">
        <v>14415</v>
      </c>
      <c r="L3" s="164">
        <v>6460</v>
      </c>
      <c r="M3" s="168">
        <f aca="true" t="shared" si="2" ref="M3:M9">L3/2</f>
        <v>3230</v>
      </c>
      <c r="N3" s="118">
        <f aca="true" t="shared" si="3" ref="N3:N12">SUM(K3+M3)</f>
        <v>17645</v>
      </c>
      <c r="O3" s="123">
        <v>1125</v>
      </c>
      <c r="P3" s="11">
        <f aca="true" t="shared" si="4" ref="P3:P12">N3/O3</f>
        <v>15.684444444444445</v>
      </c>
      <c r="Q3" s="140">
        <f>(O3-207)*(16.44)+(O3-207)*(73%*8.22)+(207*11.25)</f>
        <v>22929.220800000003</v>
      </c>
      <c r="R3" s="59">
        <f aca="true" t="shared" si="5" ref="R3:R12">Q3/(K3*1.96+L3*1.36)</f>
        <v>0.619056151623964</v>
      </c>
    </row>
    <row r="4" spans="1:18" ht="15.75" thickBot="1">
      <c r="A4" s="102" t="s">
        <v>106</v>
      </c>
      <c r="B4" s="164">
        <v>6756</v>
      </c>
      <c r="C4" s="164">
        <v>6778</v>
      </c>
      <c r="D4" s="159">
        <f t="shared" si="0"/>
        <v>1694.5</v>
      </c>
      <c r="E4" s="181">
        <f>SUM(B4+D4)</f>
        <v>8450.5</v>
      </c>
      <c r="F4" s="196">
        <v>433.25</v>
      </c>
      <c r="G4" s="123">
        <f aca="true" t="shared" si="6" ref="G4:G47">E4/F4</f>
        <v>19.504904789382575</v>
      </c>
      <c r="H4" s="182">
        <f>(F4-13)*(16.44)+(F4-13)*(73%*8.22)+(13*11.25)</f>
        <v>9576.91215</v>
      </c>
      <c r="I4" s="130">
        <f t="shared" si="1"/>
        <v>0.40316387786571023</v>
      </c>
      <c r="J4" s="102" t="s">
        <v>126</v>
      </c>
      <c r="K4" s="164">
        <v>9168</v>
      </c>
      <c r="L4" s="164">
        <v>2515</v>
      </c>
      <c r="M4" s="168">
        <f t="shared" si="2"/>
        <v>1257.5</v>
      </c>
      <c r="N4" s="118">
        <f t="shared" si="3"/>
        <v>10425.5</v>
      </c>
      <c r="O4" s="159">
        <v>919.25</v>
      </c>
      <c r="P4" s="11">
        <f t="shared" si="4"/>
        <v>11.341310851237422</v>
      </c>
      <c r="Q4" s="140">
        <f>(O4-69.75)*(16.44)+(O4-69.75)*(73%*8.22)+(69.75*11.25)</f>
        <v>19847.9772</v>
      </c>
      <c r="R4" s="59">
        <f t="shared" si="5"/>
        <v>0.9279230544823486</v>
      </c>
    </row>
    <row r="5" spans="1:18" ht="15.75" thickBot="1">
      <c r="A5" s="102" t="s">
        <v>107</v>
      </c>
      <c r="B5" s="164">
        <v>4846</v>
      </c>
      <c r="C5" s="164">
        <v>1651</v>
      </c>
      <c r="D5" s="159">
        <f t="shared" si="0"/>
        <v>412.75</v>
      </c>
      <c r="E5" s="181">
        <f>SUM(B5+D5)</f>
        <v>5258.75</v>
      </c>
      <c r="F5" s="195">
        <v>441</v>
      </c>
      <c r="G5" s="123">
        <f t="shared" si="6"/>
        <v>11.924603174603174</v>
      </c>
      <c r="H5" s="182">
        <f>(F5-20)*(16.44)+(F5-20)*(73%*8.22)+(20*11.25)</f>
        <v>9672.492600000001</v>
      </c>
      <c r="I5" s="130">
        <f t="shared" si="1"/>
        <v>0.7762726499237443</v>
      </c>
      <c r="J5" s="102" t="s">
        <v>136</v>
      </c>
      <c r="K5" s="164">
        <v>6551</v>
      </c>
      <c r="L5" s="164">
        <v>1490</v>
      </c>
      <c r="M5" s="168">
        <f t="shared" si="2"/>
        <v>745</v>
      </c>
      <c r="N5" s="118">
        <f t="shared" si="3"/>
        <v>7296</v>
      </c>
      <c r="O5" s="159">
        <v>590</v>
      </c>
      <c r="P5" s="11">
        <f t="shared" si="4"/>
        <v>12.366101694915255</v>
      </c>
      <c r="Q5" s="140">
        <f>(O5-51)*(16.44)+(O5-51)*(73%*8.22)+(51*11.25)</f>
        <v>12669.233400000001</v>
      </c>
      <c r="R5" s="59">
        <f t="shared" si="5"/>
        <v>0.8522081666258587</v>
      </c>
    </row>
    <row r="6" spans="1:18" ht="15.75" thickBot="1">
      <c r="A6" s="102" t="s">
        <v>108</v>
      </c>
      <c r="B6" s="164">
        <v>6538</v>
      </c>
      <c r="C6" s="164">
        <v>8001</v>
      </c>
      <c r="D6" s="159">
        <f t="shared" si="0"/>
        <v>2000.25</v>
      </c>
      <c r="E6" s="181">
        <f>SUM(B6+D6)</f>
        <v>8538.25</v>
      </c>
      <c r="F6" s="195">
        <v>406</v>
      </c>
      <c r="G6" s="123">
        <f t="shared" si="6"/>
        <v>21.030172413793103</v>
      </c>
      <c r="H6" s="182">
        <f>(F6-3.75)*(16.44)+(F6-3.75)*(73%*8.22)+(3.75*11.25)+466.13</f>
        <v>9535.048850000001</v>
      </c>
      <c r="I6" s="130">
        <f t="shared" si="1"/>
        <v>0.38073534428393124</v>
      </c>
      <c r="J6" s="102" t="s">
        <v>133</v>
      </c>
      <c r="K6" s="164">
        <v>5494</v>
      </c>
      <c r="L6" s="164">
        <v>1125</v>
      </c>
      <c r="M6" s="168">
        <f t="shared" si="2"/>
        <v>562.5</v>
      </c>
      <c r="N6" s="118">
        <f t="shared" si="3"/>
        <v>6056.5</v>
      </c>
      <c r="O6" s="159">
        <v>743.8</v>
      </c>
      <c r="P6" s="11">
        <f t="shared" si="4"/>
        <v>8.142645872546384</v>
      </c>
      <c r="Q6" s="140">
        <f>(O6-60)*(16.44)+(O6-60)*(73%*8.22)+(60*11.25)</f>
        <v>16019.882280000002</v>
      </c>
      <c r="R6" s="59">
        <f t="shared" si="5"/>
        <v>1.30261584421836</v>
      </c>
    </row>
    <row r="7" spans="1:18" ht="15.75" thickBot="1">
      <c r="A7" s="101" t="s">
        <v>109</v>
      </c>
      <c r="B7" s="164">
        <v>6396</v>
      </c>
      <c r="C7" s="164">
        <v>5463</v>
      </c>
      <c r="D7" s="159">
        <f t="shared" si="0"/>
        <v>1365.75</v>
      </c>
      <c r="E7" s="181">
        <f aca="true" t="shared" si="7" ref="E7:E14">SUM(B7+D7)</f>
        <v>7761.75</v>
      </c>
      <c r="F7" s="195">
        <v>433</v>
      </c>
      <c r="G7" s="123">
        <f t="shared" si="6"/>
        <v>17.925519630484988</v>
      </c>
      <c r="H7" s="182">
        <f>(F7-93.5)*(16.44)+(F7-93.5)*(73%*8.22)+(93.5*11.25)+297</f>
        <v>8967.4587</v>
      </c>
      <c r="I7" s="130">
        <f t="shared" si="1"/>
        <v>0.4244256433233807</v>
      </c>
      <c r="J7" s="102" t="s">
        <v>135</v>
      </c>
      <c r="K7" s="164">
        <v>3230</v>
      </c>
      <c r="L7" s="164">
        <v>1330</v>
      </c>
      <c r="M7" s="168">
        <f t="shared" si="2"/>
        <v>665</v>
      </c>
      <c r="N7" s="118">
        <f t="shared" si="3"/>
        <v>3895</v>
      </c>
      <c r="O7" s="159">
        <v>589</v>
      </c>
      <c r="P7" s="11">
        <f t="shared" si="4"/>
        <v>6.612903225806452</v>
      </c>
      <c r="Q7" s="140">
        <f>(O7*16.44)+(O7*73%*8.22)</f>
        <v>13217.5134</v>
      </c>
      <c r="R7" s="59">
        <f t="shared" si="5"/>
        <v>1.6238529411764704</v>
      </c>
    </row>
    <row r="8" spans="1:18" ht="15.75" thickBot="1">
      <c r="A8" s="102" t="s">
        <v>68</v>
      </c>
      <c r="B8" s="164">
        <v>7205</v>
      </c>
      <c r="C8" s="164">
        <v>5905</v>
      </c>
      <c r="D8" s="159">
        <f t="shared" si="0"/>
        <v>1476.25</v>
      </c>
      <c r="E8" s="181">
        <f t="shared" si="7"/>
        <v>8681.25</v>
      </c>
      <c r="F8" s="195">
        <v>425.5</v>
      </c>
      <c r="G8" s="123">
        <f t="shared" si="6"/>
        <v>20.40246768507638</v>
      </c>
      <c r="H8" s="182">
        <f>(F8-6)*(16.44)+(F8-6)*(73%*8.22)+(6*11.25)+222.75</f>
        <v>9704.0817</v>
      </c>
      <c r="I8" s="130">
        <f t="shared" si="1"/>
        <v>0.41389359228250205</v>
      </c>
      <c r="J8" s="102" t="s">
        <v>132</v>
      </c>
      <c r="K8" s="164">
        <v>2651</v>
      </c>
      <c r="L8" s="164">
        <v>1309</v>
      </c>
      <c r="M8" s="168">
        <f t="shared" si="2"/>
        <v>654.5</v>
      </c>
      <c r="N8" s="118">
        <f t="shared" si="3"/>
        <v>3305.5</v>
      </c>
      <c r="O8" s="159">
        <v>421.3</v>
      </c>
      <c r="P8" s="11">
        <f t="shared" si="4"/>
        <v>7.845953002610966</v>
      </c>
      <c r="Q8" s="140">
        <f>(O8-85)*(16.44)+(O8-85)*(73%*8.22)+(85*11.25)</f>
        <v>8503.023780000001</v>
      </c>
      <c r="R8" s="59">
        <f t="shared" si="5"/>
        <v>1.2188618130214157</v>
      </c>
    </row>
    <row r="9" spans="1:18" ht="15.75" thickBot="1">
      <c r="A9" s="101" t="s">
        <v>110</v>
      </c>
      <c r="B9" s="164">
        <v>3085</v>
      </c>
      <c r="C9" s="164">
        <v>2807</v>
      </c>
      <c r="D9" s="159">
        <f t="shared" si="0"/>
        <v>701.75</v>
      </c>
      <c r="E9" s="181">
        <f t="shared" si="7"/>
        <v>3786.75</v>
      </c>
      <c r="F9" s="195">
        <v>180.5</v>
      </c>
      <c r="G9" s="123">
        <f t="shared" si="6"/>
        <v>20.979224376731302</v>
      </c>
      <c r="H9" s="182">
        <f>(F9-3.5)*(16.44)+(F9-3.5)*(73%*8.22)+(3.5*11.25)</f>
        <v>4011.3612000000003</v>
      </c>
      <c r="I9" s="130">
        <f t="shared" si="1"/>
        <v>0.38436839471223405</v>
      </c>
      <c r="J9" s="102" t="s">
        <v>129</v>
      </c>
      <c r="K9" s="164">
        <v>2090</v>
      </c>
      <c r="L9" s="164">
        <v>836</v>
      </c>
      <c r="M9" s="168">
        <f t="shared" si="2"/>
        <v>418</v>
      </c>
      <c r="N9" s="118">
        <f t="shared" si="3"/>
        <v>2508</v>
      </c>
      <c r="O9" s="123">
        <v>368.25</v>
      </c>
      <c r="P9" s="11">
        <f t="shared" si="4"/>
        <v>6.810590631364562</v>
      </c>
      <c r="Q9" s="140">
        <f>(O9-24.25)*(16.44)+(O9-24.25)*(73%*8.22)+(24.25*11.25)</f>
        <v>7992.378900000001</v>
      </c>
      <c r="R9" s="59">
        <f t="shared" si="5"/>
        <v>1.5271983773331093</v>
      </c>
    </row>
    <row r="10" spans="1:18" ht="15.75" thickBot="1">
      <c r="A10" s="102" t="s">
        <v>111</v>
      </c>
      <c r="B10" s="164">
        <v>7211</v>
      </c>
      <c r="C10" s="164">
        <v>5877</v>
      </c>
      <c r="D10" s="159">
        <f t="shared" si="0"/>
        <v>1469.25</v>
      </c>
      <c r="E10" s="181">
        <f t="shared" si="7"/>
        <v>8680.25</v>
      </c>
      <c r="F10" s="195">
        <v>460</v>
      </c>
      <c r="G10" s="123">
        <f t="shared" si="6"/>
        <v>18.870108695652174</v>
      </c>
      <c r="H10" s="182">
        <f>(F10-13)*(16.44)+(F10-13)*(73%*8.22)+(13*11.25)</f>
        <v>10177.1982</v>
      </c>
      <c r="I10" s="130">
        <f t="shared" si="1"/>
        <v>0.43458088084451335</v>
      </c>
      <c r="J10" s="102" t="s">
        <v>134</v>
      </c>
      <c r="K10" s="164">
        <v>2090</v>
      </c>
      <c r="L10" s="164">
        <v>1330</v>
      </c>
      <c r="M10" s="168">
        <f>L10/4</f>
        <v>332.5</v>
      </c>
      <c r="N10" s="118">
        <f t="shared" si="3"/>
        <v>2422.5</v>
      </c>
      <c r="O10" s="159">
        <v>281.25</v>
      </c>
      <c r="P10" s="11">
        <f t="shared" si="4"/>
        <v>8.613333333333333</v>
      </c>
      <c r="Q10" s="140">
        <f>(O10*16.44)+(O10*73%*8.22)</f>
        <v>6311.41875</v>
      </c>
      <c r="R10" s="59">
        <f t="shared" si="5"/>
        <v>1.0687900071123755</v>
      </c>
    </row>
    <row r="11" spans="1:18" ht="15.75" thickBot="1">
      <c r="A11" s="101" t="s">
        <v>67</v>
      </c>
      <c r="B11" s="164">
        <v>8786</v>
      </c>
      <c r="C11" s="164">
        <v>6415</v>
      </c>
      <c r="D11" s="159">
        <f t="shared" si="0"/>
        <v>1603.75</v>
      </c>
      <c r="E11" s="181">
        <f t="shared" si="7"/>
        <v>10389.75</v>
      </c>
      <c r="F11" s="195">
        <v>405.5</v>
      </c>
      <c r="G11" s="123">
        <f t="shared" si="6"/>
        <v>25.622071516646116</v>
      </c>
      <c r="H11" s="182">
        <f>(F11-124)*(16.44)+(F11-124)*(73%*8.22)+(124*11.25)+297</f>
        <v>8009.028900000001</v>
      </c>
      <c r="I11" s="130">
        <f t="shared" si="1"/>
        <v>0.29155426087340947</v>
      </c>
      <c r="J11" s="102" t="s">
        <v>61</v>
      </c>
      <c r="K11" s="164">
        <v>1884</v>
      </c>
      <c r="L11" s="164">
        <v>1330</v>
      </c>
      <c r="M11" s="168">
        <f>L11/4</f>
        <v>332.5</v>
      </c>
      <c r="N11" s="118">
        <f t="shared" si="3"/>
        <v>2216.5</v>
      </c>
      <c r="O11" s="123">
        <v>196.5</v>
      </c>
      <c r="P11" s="11">
        <f t="shared" si="4"/>
        <v>11.279898218829517</v>
      </c>
      <c r="Q11" s="140">
        <f>(O11-4)*(16.44)+(O11-4)*(73%*8.22)+(4*11.25)</f>
        <v>4364.815500000001</v>
      </c>
      <c r="R11" s="59">
        <f t="shared" si="5"/>
        <v>0.7933950929211261</v>
      </c>
    </row>
    <row r="12" spans="1:18" ht="15.75" thickBot="1">
      <c r="A12" s="101" t="s">
        <v>63</v>
      </c>
      <c r="B12" s="164">
        <v>8871</v>
      </c>
      <c r="C12" s="164">
        <v>7885</v>
      </c>
      <c r="D12" s="159">
        <f t="shared" si="0"/>
        <v>1971.25</v>
      </c>
      <c r="E12" s="181">
        <f t="shared" si="7"/>
        <v>10842.25</v>
      </c>
      <c r="F12" s="195">
        <v>549.25</v>
      </c>
      <c r="G12" s="123">
        <f t="shared" si="6"/>
        <v>19.74010013654984</v>
      </c>
      <c r="H12" s="182">
        <f>(F12-62.5)*(16.44)+(F12-62.5)*(73%*8.22)+(62.5*11.25)+239.25</f>
        <v>11865.337050000002</v>
      </c>
      <c r="I12" s="130">
        <f t="shared" si="1"/>
        <v>0.3989207655723267</v>
      </c>
      <c r="J12" s="102" t="s">
        <v>131</v>
      </c>
      <c r="K12" s="164">
        <v>1532</v>
      </c>
      <c r="L12" s="164">
        <v>879</v>
      </c>
      <c r="M12" s="168">
        <f>L12/4</f>
        <v>219.75</v>
      </c>
      <c r="N12" s="118">
        <f t="shared" si="3"/>
        <v>1751.75</v>
      </c>
      <c r="O12" s="123">
        <v>238.05</v>
      </c>
      <c r="P12" s="11">
        <f t="shared" si="4"/>
        <v>7.358748162150809</v>
      </c>
      <c r="Q12" s="140">
        <f>(O12-34.25)*(16.44)+(O12-34.25)*(73%*8.22)+(34.25*11.25)</f>
        <v>4958.70678</v>
      </c>
      <c r="R12" s="59">
        <f t="shared" si="5"/>
        <v>1.181161932846771</v>
      </c>
    </row>
    <row r="13" spans="1:18" ht="15.75" thickBot="1">
      <c r="A13" s="102" t="s">
        <v>136</v>
      </c>
      <c r="B13" s="164">
        <v>6686</v>
      </c>
      <c r="C13" s="164">
        <v>1676</v>
      </c>
      <c r="D13" s="159">
        <f>C13/2</f>
        <v>838</v>
      </c>
      <c r="E13" s="181">
        <f t="shared" si="7"/>
        <v>7524</v>
      </c>
      <c r="F13" s="195">
        <v>608.75</v>
      </c>
      <c r="G13" s="123">
        <f t="shared" si="6"/>
        <v>12.359753593429158</v>
      </c>
      <c r="H13" s="182">
        <f>(F13-29.5)*(16.44)+(F13-29.5)*(73%*8.22)+(29.5*11.25)</f>
        <v>13330.592550000001</v>
      </c>
      <c r="I13" s="130">
        <f t="shared" si="1"/>
        <v>0.8161773630455873</v>
      </c>
      <c r="J13" s="139" t="s">
        <v>75</v>
      </c>
      <c r="K13" s="164"/>
      <c r="L13" s="164"/>
      <c r="M13" s="168"/>
      <c r="N13" s="118"/>
      <c r="O13" s="120"/>
      <c r="P13" s="123"/>
      <c r="Q13" s="143"/>
      <c r="R13" s="59"/>
    </row>
    <row r="14" spans="1:18" ht="15">
      <c r="A14" s="101" t="s">
        <v>113</v>
      </c>
      <c r="B14" s="164">
        <v>6472</v>
      </c>
      <c r="C14" s="164">
        <v>3675</v>
      </c>
      <c r="D14" s="159">
        <f t="shared" si="0"/>
        <v>918.75</v>
      </c>
      <c r="E14" s="181">
        <f t="shared" si="7"/>
        <v>7390.75</v>
      </c>
      <c r="F14" s="195">
        <v>382.5</v>
      </c>
      <c r="G14" s="123">
        <f t="shared" si="6"/>
        <v>19.322222222222223</v>
      </c>
      <c r="H14" s="182">
        <f>(F14-179.25)*(16.44)+(F14-179.25)*(73%*8.22)+(179.25*11.25)</f>
        <v>6577.61445</v>
      </c>
      <c r="I14" s="130">
        <f t="shared" si="1"/>
        <v>0.3510446496047757</v>
      </c>
      <c r="J14" s="101" t="s">
        <v>104</v>
      </c>
      <c r="K14" s="164">
        <v>9690</v>
      </c>
      <c r="L14" s="164">
        <v>9310</v>
      </c>
      <c r="M14" s="168">
        <f>L14/4</f>
        <v>2327.5</v>
      </c>
      <c r="N14" s="118">
        <f>SUM(K14+M14)</f>
        <v>12017.5</v>
      </c>
      <c r="O14" s="159">
        <v>371</v>
      </c>
      <c r="P14" s="11">
        <f>N14/O14</f>
        <v>32.392183288409704</v>
      </c>
      <c r="Q14" s="140">
        <f>(O14-78)*(16.44)+(O14-78)*(73%*8.22)+(78*11.25)</f>
        <v>7452.5958</v>
      </c>
      <c r="R14" s="59">
        <f>Q14/(K14*1.96+L14*1.36)</f>
        <v>0.23543930624881532</v>
      </c>
    </row>
    <row r="15" spans="1:18" ht="15.75" thickBot="1">
      <c r="A15" s="102" t="s">
        <v>114</v>
      </c>
      <c r="B15" s="164"/>
      <c r="C15" s="164"/>
      <c r="D15" s="159"/>
      <c r="E15" s="181">
        <v>0</v>
      </c>
      <c r="F15" s="195">
        <v>0</v>
      </c>
      <c r="G15" s="123">
        <v>0</v>
      </c>
      <c r="H15" s="185">
        <v>0</v>
      </c>
      <c r="I15" s="130" t="e">
        <f t="shared" si="1"/>
        <v>#DIV/0!</v>
      </c>
      <c r="J15" s="101" t="s">
        <v>102</v>
      </c>
      <c r="K15" s="164">
        <v>9310</v>
      </c>
      <c r="L15" s="164">
        <v>7410</v>
      </c>
      <c r="M15" s="168">
        <f>L15/4</f>
        <v>1852.5</v>
      </c>
      <c r="N15" s="118">
        <f>SUM(K15+M15)</f>
        <v>11162.5</v>
      </c>
      <c r="O15" s="123">
        <v>545.25</v>
      </c>
      <c r="P15" s="11">
        <f>N15/O15</f>
        <v>20.472260430994957</v>
      </c>
      <c r="Q15" s="140">
        <f>(O15-21.75)*(16.44)+(O15-21.75)*(73%*8.22)+(21.75*11.25)+363</f>
        <v>12355.3416</v>
      </c>
      <c r="R15" s="59">
        <f>Q15/(K15*1.96+L15*1.36)</f>
        <v>0.4361960939375539</v>
      </c>
    </row>
    <row r="16" spans="1:18" ht="18" customHeight="1" thickBot="1">
      <c r="A16" s="101" t="s">
        <v>115</v>
      </c>
      <c r="B16" s="164">
        <v>6788</v>
      </c>
      <c r="C16" s="164">
        <v>4561</v>
      </c>
      <c r="D16" s="159">
        <f t="shared" si="0"/>
        <v>1140.25</v>
      </c>
      <c r="E16" s="181">
        <f aca="true" t="shared" si="8" ref="E16:E32">SUM(B16+D16)</f>
        <v>7928.25</v>
      </c>
      <c r="F16" s="195">
        <v>455.25</v>
      </c>
      <c r="G16" s="123">
        <f t="shared" si="6"/>
        <v>17.41515650741351</v>
      </c>
      <c r="H16" s="182">
        <f>(F16-26.75)*(16.44)+(F16-26.75)*(73%*8.22)+(26.75*11.25)</f>
        <v>9916.734600000002</v>
      </c>
      <c r="I16" s="130">
        <f t="shared" si="1"/>
        <v>0.48000424130455616</v>
      </c>
      <c r="J16" s="102" t="s">
        <v>128</v>
      </c>
      <c r="K16" s="164">
        <v>8506</v>
      </c>
      <c r="L16" s="164">
        <v>4747</v>
      </c>
      <c r="M16" s="168">
        <f>L16/2</f>
        <v>2373.5</v>
      </c>
      <c r="N16" s="118">
        <f>SUM(K16+M16)</f>
        <v>10879.5</v>
      </c>
      <c r="O16" s="159">
        <v>546.8</v>
      </c>
      <c r="P16" s="11">
        <f>N16/O16</f>
        <v>19.896671543525972</v>
      </c>
      <c r="Q16" s="140">
        <f>(O16-7.5)*(16.44)+(O16-7.5)*(73%*8.22)+(7.5*11.25)+297</f>
        <v>12483.59058</v>
      </c>
      <c r="R16" s="59">
        <f>Q16/(K16*1.96+L16*1.36)</f>
        <v>0.5397683892201899</v>
      </c>
    </row>
    <row r="17" spans="1:18" ht="15.75" thickBot="1">
      <c r="A17" s="101" t="s">
        <v>116</v>
      </c>
      <c r="B17" s="164">
        <v>3995</v>
      </c>
      <c r="C17" s="164">
        <v>3294</v>
      </c>
      <c r="D17" s="159">
        <f t="shared" si="0"/>
        <v>823.5</v>
      </c>
      <c r="E17" s="181">
        <f t="shared" si="8"/>
        <v>4818.5</v>
      </c>
      <c r="F17" s="195">
        <v>333.5</v>
      </c>
      <c r="G17" s="123">
        <f t="shared" si="6"/>
        <v>14.448275862068966</v>
      </c>
      <c r="H17" s="182">
        <f>(F17-5.5)*(16.44)+(F17-5.5)*(73%*8.22)+(5.5*11.25)+280.5</f>
        <v>7702.891800000001</v>
      </c>
      <c r="I17" s="130">
        <f t="shared" si="1"/>
        <v>0.5912377382455599</v>
      </c>
      <c r="J17" s="102" t="s">
        <v>127</v>
      </c>
      <c r="K17" s="164">
        <v>7353</v>
      </c>
      <c r="L17" s="164">
        <v>7223</v>
      </c>
      <c r="M17" s="168">
        <f>L17/2</f>
        <v>3611.5</v>
      </c>
      <c r="N17" s="118">
        <f>SUM(K17+M17)</f>
        <v>10964.5</v>
      </c>
      <c r="O17" s="159">
        <v>578.25</v>
      </c>
      <c r="P17" s="11">
        <f>N17/O17</f>
        <v>18.961521833117164</v>
      </c>
      <c r="Q17" s="140">
        <f>(O17-47.25)*(16.44)+(O17-47.25)*(73%*8.22)+(47.25*11.25)+452</f>
        <v>12899.521100000002</v>
      </c>
      <c r="R17" s="59">
        <f>Q17/(K17*1.96+L17*1.36)</f>
        <v>0.5322647385038928</v>
      </c>
    </row>
    <row r="18" spans="1:18" ht="15.75" thickBot="1">
      <c r="A18" s="101" t="s">
        <v>125</v>
      </c>
      <c r="B18" s="164">
        <v>11424</v>
      </c>
      <c r="C18" s="164">
        <v>10145</v>
      </c>
      <c r="D18" s="159">
        <f>C18/2</f>
        <v>5072.5</v>
      </c>
      <c r="E18" s="181">
        <f t="shared" si="8"/>
        <v>16496.5</v>
      </c>
      <c r="F18" s="195">
        <v>825.25</v>
      </c>
      <c r="G18" s="123">
        <f t="shared" si="6"/>
        <v>19.989700090881552</v>
      </c>
      <c r="H18" s="182">
        <f>(F18-86.25)*(16.44)+(F18-86.25)*(73%*8.22)+(86.25*11.25)+371.25</f>
        <v>17925.1659</v>
      </c>
      <c r="I18" s="130">
        <f t="shared" si="1"/>
        <v>0.46813758670598293</v>
      </c>
      <c r="J18" s="101" t="s">
        <v>99</v>
      </c>
      <c r="K18" s="164">
        <v>7831</v>
      </c>
      <c r="L18" s="164">
        <v>7310</v>
      </c>
      <c r="M18" s="169">
        <f>L18/4</f>
        <v>1827.5</v>
      </c>
      <c r="N18" s="118">
        <f>SUM(K18+M18)</f>
        <v>9658.5</v>
      </c>
      <c r="O18" s="123">
        <v>447.75</v>
      </c>
      <c r="P18" s="123">
        <f>N18/O18</f>
        <v>21.571189279731993</v>
      </c>
      <c r="Q18" s="140">
        <f>(O18*16.44)+(O18*73%*8.22)+371</f>
        <v>10418.77865</v>
      </c>
      <c r="R18" s="128">
        <f>Q18/(K18*1.96+L18*1.36)</f>
        <v>0.4119664034043011</v>
      </c>
    </row>
    <row r="19" spans="1:18" ht="15.75" thickBot="1">
      <c r="A19" s="101" t="s">
        <v>73</v>
      </c>
      <c r="B19" s="164">
        <v>4897</v>
      </c>
      <c r="C19" s="164">
        <v>4900</v>
      </c>
      <c r="D19" s="159">
        <f t="shared" si="0"/>
        <v>1225</v>
      </c>
      <c r="E19" s="181">
        <f t="shared" si="8"/>
        <v>6122</v>
      </c>
      <c r="F19" s="195">
        <v>285</v>
      </c>
      <c r="G19" s="123">
        <f t="shared" si="6"/>
        <v>21.480701754385965</v>
      </c>
      <c r="H19" s="182">
        <f>(F19-6.5)*(16.44)+(F19-6.5)*(73%*8.22)+(6.5*11.25)</f>
        <v>6322.8321</v>
      </c>
      <c r="I19" s="130">
        <f t="shared" si="1"/>
        <v>0.3676149854103035</v>
      </c>
      <c r="J19" s="102" t="s">
        <v>106</v>
      </c>
      <c r="K19" s="164">
        <v>7410</v>
      </c>
      <c r="L19" s="164">
        <v>6840</v>
      </c>
      <c r="M19" s="168">
        <f>L19/4</f>
        <v>1710</v>
      </c>
      <c r="N19" s="118">
        <f>SUM(K19+M19)</f>
        <v>9120</v>
      </c>
      <c r="O19" s="160">
        <v>395</v>
      </c>
      <c r="P19" s="11">
        <f>N19/O19</f>
        <v>23.088607594936708</v>
      </c>
      <c r="Q19" s="140">
        <f>(O19-31.5)*(16.44)+(O19-31.5)*(73%*8.22)+(31.5*11.25)+67</f>
        <v>8578.5331</v>
      </c>
      <c r="R19" s="59">
        <f>Q19/(K19*1.96+L19*1.36)</f>
        <v>0.360049236128599</v>
      </c>
    </row>
    <row r="20" spans="1:18" ht="15.75" thickBot="1">
      <c r="A20" s="102" t="s">
        <v>132</v>
      </c>
      <c r="B20" s="164">
        <v>1528</v>
      </c>
      <c r="C20" s="164">
        <v>932</v>
      </c>
      <c r="D20" s="159">
        <f>C20/2</f>
        <v>466</v>
      </c>
      <c r="E20" s="181">
        <f t="shared" si="8"/>
        <v>1994</v>
      </c>
      <c r="F20" s="195">
        <v>319.25</v>
      </c>
      <c r="G20" s="123">
        <f t="shared" si="6"/>
        <v>6.2458888018794045</v>
      </c>
      <c r="H20" s="182">
        <f>(F20-88.25)*(16.44)+(F20-88.25)*(73%*8.22)+(88.25*11.25)</f>
        <v>6176.591100000001</v>
      </c>
      <c r="I20" s="130">
        <f t="shared" si="1"/>
        <v>1.3678572396660482</v>
      </c>
      <c r="J20" s="102" t="s">
        <v>119</v>
      </c>
      <c r="K20" s="164">
        <v>6611</v>
      </c>
      <c r="L20" s="164">
        <v>5815</v>
      </c>
      <c r="M20" s="168">
        <f>L20/4</f>
        <v>1453.75</v>
      </c>
      <c r="N20" s="118">
        <f>SUM(K20+M20)</f>
        <v>8064.75</v>
      </c>
      <c r="O20" s="160">
        <v>357.05</v>
      </c>
      <c r="P20" s="11">
        <f>N20/O20</f>
        <v>22.587172664892872</v>
      </c>
      <c r="Q20" s="140">
        <f>(O20-63.25)*(16.44)+(O20-63.25)*(73%*8.22)+(63.25*11.25)</f>
        <v>7304.61078</v>
      </c>
      <c r="R20" s="59">
        <f>Q20/(K20*1.96+L20*1.36)</f>
        <v>0.35007307499870605</v>
      </c>
    </row>
    <row r="21" spans="1:18" ht="15.75" thickBot="1">
      <c r="A21" s="102" t="s">
        <v>118</v>
      </c>
      <c r="B21" s="164">
        <v>6997</v>
      </c>
      <c r="C21" s="164">
        <v>5712</v>
      </c>
      <c r="D21" s="159">
        <f t="shared" si="0"/>
        <v>1428</v>
      </c>
      <c r="E21" s="181">
        <f t="shared" si="8"/>
        <v>8425</v>
      </c>
      <c r="F21" s="195">
        <v>439</v>
      </c>
      <c r="G21" s="123">
        <f t="shared" si="6"/>
        <v>19.191343963553532</v>
      </c>
      <c r="H21" s="182">
        <f>(F21-73)*(16.44)+(F21-73)*(73%*8.22)+(73*11.25)+30.75</f>
        <v>9065.259600000001</v>
      </c>
      <c r="I21" s="130">
        <f t="shared" si="1"/>
        <v>0.3987033070773138</v>
      </c>
      <c r="J21" s="101" t="s">
        <v>115</v>
      </c>
      <c r="K21" s="164">
        <v>6828</v>
      </c>
      <c r="L21" s="164">
        <v>4735</v>
      </c>
      <c r="M21" s="168">
        <f>L21/4</f>
        <v>1183.75</v>
      </c>
      <c r="N21" s="118">
        <f>SUM(K21+M21)</f>
        <v>8011.75</v>
      </c>
      <c r="O21" s="160">
        <v>430.8</v>
      </c>
      <c r="P21" s="11">
        <f>N21/O21</f>
        <v>18.597376973073352</v>
      </c>
      <c r="Q21" s="140">
        <f>(O21-44)*(16.44)+(O21-44)*(73%*8.22)+(44*11.25)+297</f>
        <v>9472.024080000001</v>
      </c>
      <c r="R21" s="59">
        <f>Q21/(K21*1.96+L21*1.36)</f>
        <v>0.4778425343347554</v>
      </c>
    </row>
    <row r="22" spans="1:18" ht="15.75" thickBot="1">
      <c r="A22" s="102" t="s">
        <v>133</v>
      </c>
      <c r="B22" s="164">
        <v>5371</v>
      </c>
      <c r="C22" s="164">
        <v>955</v>
      </c>
      <c r="D22" s="159">
        <f>C22/2</f>
        <v>477.5</v>
      </c>
      <c r="E22" s="181">
        <f t="shared" si="8"/>
        <v>5848.5</v>
      </c>
      <c r="F22" s="195">
        <v>762</v>
      </c>
      <c r="G22" s="123">
        <f t="shared" si="6"/>
        <v>7.675196850393701</v>
      </c>
      <c r="H22" s="182">
        <f>(F22-22.25)*(16.44)+(F22-22.25)*(73%*8.22)+(22.25*11.25)</f>
        <v>16850.74635</v>
      </c>
      <c r="I22" s="130">
        <f t="shared" si="1"/>
        <v>1.3413515125086355</v>
      </c>
      <c r="J22" s="101" t="s">
        <v>109</v>
      </c>
      <c r="K22" s="164">
        <v>6179</v>
      </c>
      <c r="L22" s="164">
        <v>6402</v>
      </c>
      <c r="M22" s="168">
        <f>L22/4</f>
        <v>1600.5</v>
      </c>
      <c r="N22" s="118">
        <f>SUM(K22+M22)</f>
        <v>7779.5</v>
      </c>
      <c r="O22" s="160">
        <v>315</v>
      </c>
      <c r="P22" s="11">
        <f>N22/O22</f>
        <v>24.696825396825396</v>
      </c>
      <c r="Q22" s="140">
        <f>(O22-21)*(16.44)+(O22-21)*(73%*8.22)+(21*11.25)+264</f>
        <v>7097.786400000001</v>
      </c>
      <c r="R22" s="59">
        <f>Q22/(K22*1.96+L22*1.36)</f>
        <v>0.340951888693968</v>
      </c>
    </row>
    <row r="23" spans="1:18" ht="15.75" thickBot="1">
      <c r="A23" s="102" t="s">
        <v>134</v>
      </c>
      <c r="B23" s="164">
        <v>1949</v>
      </c>
      <c r="C23" s="164">
        <v>1295</v>
      </c>
      <c r="D23" s="159">
        <f t="shared" si="0"/>
        <v>323.75</v>
      </c>
      <c r="E23" s="181">
        <f t="shared" si="8"/>
        <v>2272.75</v>
      </c>
      <c r="F23" s="195">
        <v>317.25</v>
      </c>
      <c r="G23" s="123">
        <f t="shared" si="6"/>
        <v>7.163908589440505</v>
      </c>
      <c r="H23" s="182">
        <f>(F23-0)*(16.44)+(F23-0)*(73%*8.22)+(0*11.25)</f>
        <v>7119.28035</v>
      </c>
      <c r="I23" s="130">
        <f t="shared" si="1"/>
        <v>1.2043888220336652</v>
      </c>
      <c r="J23" s="102" t="s">
        <v>107</v>
      </c>
      <c r="K23" s="164">
        <v>6080</v>
      </c>
      <c r="L23" s="164">
        <v>2185</v>
      </c>
      <c r="M23" s="168">
        <f>L23/4</f>
        <v>546.25</v>
      </c>
      <c r="N23" s="118">
        <f>SUM(K23+M23)</f>
        <v>6626.25</v>
      </c>
      <c r="O23" s="160">
        <v>499.5</v>
      </c>
      <c r="P23" s="11">
        <f>N23/O23</f>
        <v>13.265765765765765</v>
      </c>
      <c r="Q23" s="140">
        <f>(O23-4)*(16.44)+(O23-4)*(73%*8.22)+(4*11.25)</f>
        <v>11164.3173</v>
      </c>
      <c r="R23" s="59">
        <f>Q23/(K23*1.96+L23*1.36)</f>
        <v>0.7498668292093174</v>
      </c>
    </row>
    <row r="24" spans="1:18" ht="15.75" thickBot="1">
      <c r="A24" s="102" t="s">
        <v>126</v>
      </c>
      <c r="B24" s="164">
        <v>9384</v>
      </c>
      <c r="C24" s="164">
        <v>3762</v>
      </c>
      <c r="D24" s="159">
        <f>C24/2</f>
        <v>1881</v>
      </c>
      <c r="E24" s="181">
        <f t="shared" si="8"/>
        <v>11265</v>
      </c>
      <c r="F24" s="195">
        <v>885.25</v>
      </c>
      <c r="G24" s="123">
        <f t="shared" si="6"/>
        <v>12.725218864727479</v>
      </c>
      <c r="H24" s="182">
        <f>(F24-7)*(16.44)+(F24-7)*(73%*8.22)+(7*11.25)</f>
        <v>19787.20695</v>
      </c>
      <c r="I24" s="130">
        <f t="shared" si="1"/>
        <v>0.7935831597791893</v>
      </c>
      <c r="J24" s="101"/>
      <c r="K24" s="164"/>
      <c r="L24" s="164"/>
      <c r="M24" s="168"/>
      <c r="N24" s="118"/>
      <c r="O24" s="161"/>
      <c r="P24" s="123"/>
      <c r="Q24" s="143"/>
      <c r="R24" s="59"/>
    </row>
    <row r="25" spans="1:18" ht="15.75" thickBot="1">
      <c r="A25" s="102" t="s">
        <v>119</v>
      </c>
      <c r="B25" s="164">
        <v>7471</v>
      </c>
      <c r="C25" s="164">
        <v>6456</v>
      </c>
      <c r="D25" s="159">
        <f t="shared" si="0"/>
        <v>1614</v>
      </c>
      <c r="E25" s="181">
        <f t="shared" si="8"/>
        <v>9085</v>
      </c>
      <c r="F25" s="195">
        <v>400.75</v>
      </c>
      <c r="G25" s="123">
        <f t="shared" si="6"/>
        <v>22.66999376169682</v>
      </c>
      <c r="H25" s="182">
        <f>(F25-84.5)*(16.44)+(F25-84.5)*(73%*8.22)+(84.5*11.25)</f>
        <v>8047.464750000001</v>
      </c>
      <c r="I25" s="130">
        <f t="shared" si="1"/>
        <v>0.3246741723568242</v>
      </c>
      <c r="J25" s="142" t="s">
        <v>76</v>
      </c>
      <c r="K25" s="165"/>
      <c r="L25" s="165"/>
      <c r="M25" s="170"/>
      <c r="N25" s="167"/>
      <c r="O25" s="54"/>
      <c r="P25" s="20"/>
      <c r="Q25" s="48"/>
      <c r="R25" s="48"/>
    </row>
    <row r="26" spans="1:18" ht="15.75" thickBot="1">
      <c r="A26" s="102" t="s">
        <v>120</v>
      </c>
      <c r="B26" s="164">
        <v>7113</v>
      </c>
      <c r="C26" s="164">
        <v>4072</v>
      </c>
      <c r="D26" s="159">
        <f t="shared" si="0"/>
        <v>1018</v>
      </c>
      <c r="E26" s="181">
        <f t="shared" si="8"/>
        <v>8131</v>
      </c>
      <c r="F26" s="195">
        <v>393.25</v>
      </c>
      <c r="G26" s="123">
        <f t="shared" si="6"/>
        <v>20.67641449459631</v>
      </c>
      <c r="H26" s="182">
        <f>(F26-8.5)*(16.44)+(F26-8.5)*(73%*8.22)+(8.5*11.25)+373.31</f>
        <v>9102.95585</v>
      </c>
      <c r="I26" s="130">
        <f t="shared" si="1"/>
        <v>0.44103207150585577</v>
      </c>
      <c r="J26" s="101" t="s">
        <v>125</v>
      </c>
      <c r="K26" s="164">
        <v>11780</v>
      </c>
      <c r="L26" s="164">
        <v>10925</v>
      </c>
      <c r="M26" s="169">
        <f>L26/2</f>
        <v>5462.5</v>
      </c>
      <c r="N26" s="118">
        <f>SUM(K26+M26)</f>
        <v>17242.5</v>
      </c>
      <c r="O26" s="160">
        <v>641.75</v>
      </c>
      <c r="P26" s="123">
        <f>N26/O26</f>
        <v>26.867939228671602</v>
      </c>
      <c r="Q26" s="140">
        <f>(O26-49.75)*(16.44)+(O26-49.75)*(73%*8.22)+(49.75*11.25)+90</f>
        <v>13934.522700000001</v>
      </c>
      <c r="R26" s="128">
        <f>Q26/(K26*1.96+L26*1.36)</f>
        <v>0.3672120626772218</v>
      </c>
    </row>
    <row r="27" spans="1:18" ht="15.75" thickBot="1">
      <c r="A27" s="105" t="s">
        <v>81</v>
      </c>
      <c r="B27" s="164">
        <v>2638</v>
      </c>
      <c r="C27" s="164">
        <v>2625</v>
      </c>
      <c r="D27" s="159">
        <f t="shared" si="0"/>
        <v>656.25</v>
      </c>
      <c r="E27" s="181">
        <f t="shared" si="8"/>
        <v>3294.25</v>
      </c>
      <c r="F27" s="195">
        <v>309.25</v>
      </c>
      <c r="G27" s="123">
        <f t="shared" si="6"/>
        <v>10.652384801940178</v>
      </c>
      <c r="H27" s="182">
        <f>(F27-57.25)*(16.44)+(F27-57.25)*(73%*8.22)+(57.25*11.25)+49.5</f>
        <v>6348.5937</v>
      </c>
      <c r="I27" s="130">
        <f t="shared" si="1"/>
        <v>0.6867401727238814</v>
      </c>
      <c r="J27" s="101" t="s">
        <v>63</v>
      </c>
      <c r="K27" s="164">
        <v>10081</v>
      </c>
      <c r="L27" s="164">
        <v>9357</v>
      </c>
      <c r="M27" s="169">
        <f>L27/4</f>
        <v>2339.25</v>
      </c>
      <c r="N27" s="118">
        <f>SUM(K27+M27)</f>
        <v>12420.25</v>
      </c>
      <c r="O27" s="160">
        <v>497.8</v>
      </c>
      <c r="P27" s="123">
        <f>N27/O27</f>
        <v>24.950281237444756</v>
      </c>
      <c r="Q27" s="140">
        <f>(O27-75)*(16.44)+(O27-75)*(73%*8.22)+(75*11.25)+264</f>
        <v>10595.635680000001</v>
      </c>
      <c r="R27" s="128">
        <f>Q27/(K27*1.96+L27*1.36)</f>
        <v>0.32617732884952355</v>
      </c>
    </row>
    <row r="28" spans="1:18" ht="15.75" thickBot="1">
      <c r="A28" s="102" t="s">
        <v>127</v>
      </c>
      <c r="B28" s="164">
        <v>8328</v>
      </c>
      <c r="C28" s="164">
        <v>8728</v>
      </c>
      <c r="D28" s="159">
        <f>C28/2</f>
        <v>4364</v>
      </c>
      <c r="E28" s="181">
        <f t="shared" si="8"/>
        <v>12692</v>
      </c>
      <c r="F28" s="195">
        <v>566.5</v>
      </c>
      <c r="G28" s="123">
        <f t="shared" si="6"/>
        <v>22.40423654015887</v>
      </c>
      <c r="H28" s="182">
        <f>(F28-5.25)*(16.44)+(F28-5.25)*(73%*8.22)+(5.25*11.25)+247.5</f>
        <v>12901.349250000001</v>
      </c>
      <c r="I28" s="130">
        <f t="shared" si="1"/>
        <v>0.43273747913484323</v>
      </c>
      <c r="J28" s="101" t="s">
        <v>62</v>
      </c>
      <c r="K28" s="164">
        <v>7465</v>
      </c>
      <c r="L28" s="164">
        <v>7600</v>
      </c>
      <c r="M28" s="169">
        <f>L28/2</f>
        <v>3800</v>
      </c>
      <c r="N28" s="118">
        <f>SUM(K28+M28)</f>
        <v>11265</v>
      </c>
      <c r="O28" s="123">
        <v>507</v>
      </c>
      <c r="P28" s="123">
        <f>N28/O28</f>
        <v>22.218934911242602</v>
      </c>
      <c r="Q28" s="140">
        <f>(O28-63.5)*(16.44)+(O28-63.5)*(73%*8.22)+(63.5*11.25)</f>
        <v>10666.7811</v>
      </c>
      <c r="R28" s="128">
        <f>Q28/(K28*1.96+L28*1.36)</f>
        <v>0.4272283497680976</v>
      </c>
    </row>
    <row r="29" spans="1:18" ht="15.75" thickBot="1">
      <c r="A29" s="102" t="s">
        <v>69</v>
      </c>
      <c r="B29" s="164">
        <v>5625</v>
      </c>
      <c r="C29" s="164">
        <v>4994</v>
      </c>
      <c r="D29" s="159">
        <f t="shared" si="0"/>
        <v>1248.5</v>
      </c>
      <c r="E29" s="181">
        <f t="shared" si="8"/>
        <v>6873.5</v>
      </c>
      <c r="F29" s="195">
        <v>347</v>
      </c>
      <c r="G29" s="123">
        <f t="shared" si="6"/>
        <v>19.80835734870317</v>
      </c>
      <c r="H29" s="182">
        <f>(F29-66)*(16.44)+(F29-66)*(73%*8.22)+(66*11.25)+297</f>
        <v>7345.3086</v>
      </c>
      <c r="I29" s="130">
        <f t="shared" si="1"/>
        <v>0.3896339446076795</v>
      </c>
      <c r="J29" s="102" t="s">
        <v>108</v>
      </c>
      <c r="K29" s="164">
        <v>8360</v>
      </c>
      <c r="L29" s="164">
        <v>6270</v>
      </c>
      <c r="M29" s="169">
        <f>L29/4</f>
        <v>1567.5</v>
      </c>
      <c r="N29" s="118">
        <f>SUM(K29+M29)</f>
        <v>9927.5</v>
      </c>
      <c r="O29" s="159">
        <v>361</v>
      </c>
      <c r="P29" s="123">
        <f>N29/O29</f>
        <v>27.5</v>
      </c>
      <c r="Q29" s="140">
        <f>(O29*16.44)+(O29*73%*8.22)+371</f>
        <v>8472.0566</v>
      </c>
      <c r="R29" s="128">
        <f>Q29/(K29*1.96+L29*1.36)</f>
        <v>0.3400684226582319</v>
      </c>
    </row>
    <row r="30" spans="1:18" ht="15.75" thickBot="1">
      <c r="A30" s="102" t="s">
        <v>135</v>
      </c>
      <c r="B30" s="164">
        <v>2371</v>
      </c>
      <c r="C30" s="164">
        <v>1234</v>
      </c>
      <c r="D30" s="159">
        <f>C30/2</f>
        <v>617</v>
      </c>
      <c r="E30" s="181">
        <f t="shared" si="8"/>
        <v>2988</v>
      </c>
      <c r="F30" s="195">
        <v>610</v>
      </c>
      <c r="G30" s="123">
        <f t="shared" si="6"/>
        <v>4.898360655737705</v>
      </c>
      <c r="H30" s="182">
        <f>(F30-54.5)*(16.44)+(F30-54.5)*(73%*8.22)+(54.5*11.25)</f>
        <v>13078.8783</v>
      </c>
      <c r="I30" s="130">
        <f t="shared" si="1"/>
        <v>1.9508579544120572</v>
      </c>
      <c r="J30" s="101" t="s">
        <v>67</v>
      </c>
      <c r="K30" s="164">
        <v>8445</v>
      </c>
      <c r="L30" s="164">
        <v>5537</v>
      </c>
      <c r="M30" s="169">
        <f>L30/4</f>
        <v>1384.25</v>
      </c>
      <c r="N30" s="118">
        <f>SUM(K30+M30)</f>
        <v>9829.25</v>
      </c>
      <c r="O30" s="159">
        <v>343.5</v>
      </c>
      <c r="P30" s="123">
        <f>N30/O30</f>
        <v>28.614992721979622</v>
      </c>
      <c r="Q30" s="140">
        <f>(O30-77.5)*(16.44)+(O30-77.5)*(73%*8.22)+(77.5*11.25)+264</f>
        <v>7105.0746</v>
      </c>
      <c r="R30" s="128">
        <f>Q30/(K30*1.96+L30*1.36)</f>
        <v>0.295030362271058</v>
      </c>
    </row>
    <row r="31" spans="1:18" ht="15.75" thickBot="1">
      <c r="A31" s="102" t="s">
        <v>70</v>
      </c>
      <c r="B31" s="164">
        <v>3327</v>
      </c>
      <c r="C31" s="164">
        <v>3191</v>
      </c>
      <c r="D31" s="159">
        <f t="shared" si="0"/>
        <v>797.75</v>
      </c>
      <c r="E31" s="181">
        <f t="shared" si="8"/>
        <v>4124.75</v>
      </c>
      <c r="F31" s="195">
        <v>185</v>
      </c>
      <c r="G31" s="123">
        <f t="shared" si="6"/>
        <v>22.295945945945945</v>
      </c>
      <c r="H31" s="182">
        <f>(F31-174)*(16.44)+(F31-174)*(73%*8.22)+(174*11.25)+247.5</f>
        <v>2451.8466</v>
      </c>
      <c r="I31" s="130">
        <f t="shared" si="1"/>
        <v>0.21341762197192846</v>
      </c>
      <c r="J31" s="101" t="s">
        <v>105</v>
      </c>
      <c r="K31" s="164">
        <v>7980</v>
      </c>
      <c r="L31" s="164">
        <v>6840</v>
      </c>
      <c r="M31" s="169">
        <f>L31/4</f>
        <v>1710</v>
      </c>
      <c r="N31" s="118">
        <f>SUM(K31+M31)</f>
        <v>9690</v>
      </c>
      <c r="O31" s="159">
        <v>301.3</v>
      </c>
      <c r="P31" s="123">
        <f>N31/O31</f>
        <v>32.16063723863259</v>
      </c>
      <c r="Q31" s="140">
        <f>(O31-78)*(16.44)+(O31-78)*(73%*8.22)+(78*11.25)+371</f>
        <v>6259.485980000001</v>
      </c>
      <c r="R31" s="128">
        <f>Q31/(K31*1.96+L31*1.36)</f>
        <v>0.25094959668366534</v>
      </c>
    </row>
    <row r="32" spans="1:18" ht="17.25" customHeight="1">
      <c r="A32" s="102" t="s">
        <v>128</v>
      </c>
      <c r="B32" s="164">
        <v>9000</v>
      </c>
      <c r="C32" s="164">
        <v>6564</v>
      </c>
      <c r="D32" s="159">
        <f>C32/2</f>
        <v>3282</v>
      </c>
      <c r="E32" s="159">
        <f t="shared" si="8"/>
        <v>12282</v>
      </c>
      <c r="F32" s="195">
        <v>580.5</v>
      </c>
      <c r="G32" s="123">
        <f t="shared" si="6"/>
        <v>21.157622739018088</v>
      </c>
      <c r="H32" s="182">
        <f>(F32-0)*(16.44)+(F32-0)*(73%*8.22)+(0*11.25)+371.25</f>
        <v>13398.0183</v>
      </c>
      <c r="I32" s="130">
        <f t="shared" si="1"/>
        <v>0.47630854555662117</v>
      </c>
      <c r="J32" s="125"/>
      <c r="K32" s="125"/>
      <c r="L32" s="125"/>
      <c r="M32" s="125"/>
      <c r="N32" s="125"/>
      <c r="O32" s="125"/>
      <c r="P32" s="125"/>
      <c r="Q32" s="125"/>
      <c r="R32" s="125"/>
    </row>
    <row r="33" spans="1:18" ht="76.5" customHeight="1" thickBot="1">
      <c r="A33" s="144" t="s">
        <v>85</v>
      </c>
      <c r="B33" s="131" t="s">
        <v>87</v>
      </c>
      <c r="C33" s="131" t="s">
        <v>86</v>
      </c>
      <c r="D33" s="117" t="s">
        <v>80</v>
      </c>
      <c r="E33" s="117" t="s">
        <v>54</v>
      </c>
      <c r="F33" s="244" t="s">
        <v>96</v>
      </c>
      <c r="G33" s="145" t="s">
        <v>46</v>
      </c>
      <c r="H33" s="132" t="s">
        <v>48</v>
      </c>
      <c r="I33" s="72" t="s">
        <v>47</v>
      </c>
      <c r="J33" s="20" t="s">
        <v>85</v>
      </c>
      <c r="K33" s="135" t="s">
        <v>87</v>
      </c>
      <c r="L33" s="135" t="s">
        <v>86</v>
      </c>
      <c r="M33" s="135" t="s">
        <v>94</v>
      </c>
      <c r="N33" s="136" t="s">
        <v>54</v>
      </c>
      <c r="O33" s="136" t="s">
        <v>96</v>
      </c>
      <c r="P33" s="137" t="s">
        <v>45</v>
      </c>
      <c r="Q33" s="138" t="s">
        <v>48</v>
      </c>
      <c r="R33" s="138" t="s">
        <v>47</v>
      </c>
    </row>
    <row r="34" spans="1:18" ht="15.75" thickBot="1">
      <c r="A34" s="119" t="s">
        <v>129</v>
      </c>
      <c r="B34" s="174">
        <v>1874</v>
      </c>
      <c r="C34" s="187">
        <v>762</v>
      </c>
      <c r="D34" s="173">
        <f>C34/2</f>
        <v>381</v>
      </c>
      <c r="E34" s="173">
        <f aca="true" t="shared" si="9" ref="E34:E47">SUM(B34+D34)</f>
        <v>2255</v>
      </c>
      <c r="F34" s="193">
        <v>399.25</v>
      </c>
      <c r="G34" s="126">
        <f t="shared" si="6"/>
        <v>5.648090169067</v>
      </c>
      <c r="H34" s="182">
        <f>(F34-0)*(16.44)+(F34-0)*(73%*8.22)+(0*11.25)+371.25</f>
        <v>9330.65955</v>
      </c>
      <c r="I34" s="130">
        <f t="shared" si="1"/>
        <v>1.8681302115246636</v>
      </c>
      <c r="J34" s="139" t="s">
        <v>77</v>
      </c>
      <c r="K34" s="20"/>
      <c r="L34" s="20"/>
      <c r="M34" s="127"/>
      <c r="N34" s="118"/>
      <c r="O34" s="133"/>
      <c r="P34" s="123"/>
      <c r="Q34" s="140"/>
      <c r="R34" s="128"/>
    </row>
    <row r="35" spans="1:18" ht="15.75" thickBot="1">
      <c r="A35" s="102" t="s">
        <v>130</v>
      </c>
      <c r="B35" s="175">
        <v>0</v>
      </c>
      <c r="C35" s="188">
        <v>0</v>
      </c>
      <c r="D35" s="173">
        <f>C35/4</f>
        <v>0</v>
      </c>
      <c r="E35" s="173">
        <f t="shared" si="9"/>
        <v>0</v>
      </c>
      <c r="F35" s="163">
        <v>0</v>
      </c>
      <c r="G35" s="123">
        <v>0</v>
      </c>
      <c r="H35" s="182">
        <v>0</v>
      </c>
      <c r="I35" s="130" t="e">
        <f t="shared" si="1"/>
        <v>#DIV/0!</v>
      </c>
      <c r="J35" s="101" t="s">
        <v>71</v>
      </c>
      <c r="K35" s="164">
        <v>6965</v>
      </c>
      <c r="L35" s="164">
        <v>5376</v>
      </c>
      <c r="M35" s="169">
        <f>L35/2</f>
        <v>2688</v>
      </c>
      <c r="N35" s="162">
        <f>SUM(K35+M35)</f>
        <v>9653</v>
      </c>
      <c r="O35" s="163">
        <v>422.75</v>
      </c>
      <c r="P35" s="123">
        <f>N35/O35</f>
        <v>22.833826138379656</v>
      </c>
      <c r="Q35" s="140">
        <f>(O35-33.25)*(16.44)+(O35-33.25)*(73%*8.22)+(33.25*11.25)+371</f>
        <v>9485.6762</v>
      </c>
      <c r="R35" s="128">
        <f>Q35/(K35*1.96+L35*1.36)</f>
        <v>0.45250130230942864</v>
      </c>
    </row>
    <row r="36" spans="1:18" ht="15.75" thickBot="1">
      <c r="A36" s="102" t="s">
        <v>61</v>
      </c>
      <c r="B36" s="175">
        <v>1689</v>
      </c>
      <c r="C36" s="188">
        <v>1346</v>
      </c>
      <c r="D36" s="169">
        <f t="shared" si="0"/>
        <v>336.5</v>
      </c>
      <c r="E36" s="173">
        <f t="shared" si="9"/>
        <v>2025.5</v>
      </c>
      <c r="F36" s="163">
        <v>211.5</v>
      </c>
      <c r="G36" s="123">
        <f t="shared" si="6"/>
        <v>9.576832151300236</v>
      </c>
      <c r="H36" s="182">
        <f>(F36-0)*(16.44)+(F36-0)*(73%*8.22)+(0*11.25)</f>
        <v>4746.186900000001</v>
      </c>
      <c r="I36" s="130">
        <f t="shared" si="1"/>
        <v>0.8721984301561043</v>
      </c>
      <c r="J36" s="102" t="s">
        <v>120</v>
      </c>
      <c r="K36" s="164">
        <v>8291</v>
      </c>
      <c r="L36" s="164">
        <v>3630</v>
      </c>
      <c r="M36" s="169">
        <f>L36/4</f>
        <v>907.5</v>
      </c>
      <c r="N36" s="162">
        <f>SUM(K36+M36)</f>
        <v>9198.5</v>
      </c>
      <c r="O36" s="160">
        <v>378.25</v>
      </c>
      <c r="P36" s="123">
        <f>N36/O36</f>
        <v>24.31857237276933</v>
      </c>
      <c r="Q36" s="140">
        <f>(O36-10.25)*(16.44)+(O36-10.25)*(73%*8.22)+(10.25*11.25)+99</f>
        <v>8472.453300000001</v>
      </c>
      <c r="R36" s="128">
        <f>Q36/(K36*1.96+L36*1.36)</f>
        <v>0.39988621882309855</v>
      </c>
    </row>
    <row r="37" spans="1:18" ht="15.75" thickBot="1">
      <c r="A37" s="105" t="s">
        <v>97</v>
      </c>
      <c r="B37" s="175">
        <v>5766</v>
      </c>
      <c r="C37" s="188">
        <v>5448</v>
      </c>
      <c r="D37" s="169">
        <f t="shared" si="0"/>
        <v>1362</v>
      </c>
      <c r="E37" s="173">
        <f t="shared" si="9"/>
        <v>7128</v>
      </c>
      <c r="F37" s="163">
        <v>184.75</v>
      </c>
      <c r="G37" s="123">
        <f t="shared" si="6"/>
        <v>38.58186738836265</v>
      </c>
      <c r="H37" s="182">
        <f>(F37-53.5)*(16.44)+(F37-53.5)*(73%*8.22)+(53.5*11.25)+297</f>
        <v>3844.20375</v>
      </c>
      <c r="I37" s="130">
        <f t="shared" si="1"/>
        <v>0.1942177739009034</v>
      </c>
      <c r="J37" s="102" t="s">
        <v>68</v>
      </c>
      <c r="K37" s="164">
        <v>7376</v>
      </c>
      <c r="L37" s="164">
        <v>6590</v>
      </c>
      <c r="M37" s="169">
        <f>L37/4</f>
        <v>1647.5</v>
      </c>
      <c r="N37" s="162">
        <f>SUM(K37+M37)</f>
        <v>9023.5</v>
      </c>
      <c r="O37" s="160">
        <v>391.25</v>
      </c>
      <c r="P37" s="123">
        <f>N37/O37</f>
        <v>23.06325878594249</v>
      </c>
      <c r="Q37" s="140">
        <f>(O37*16.44)+(O37*73%*8.22)+87</f>
        <v>8866.884750000001</v>
      </c>
      <c r="R37" s="128">
        <f>Q37/(K37*1.96+L37*1.36)</f>
        <v>0.3786134527160435</v>
      </c>
    </row>
    <row r="38" spans="1:18" ht="15.75" thickBot="1">
      <c r="A38" s="102" t="s">
        <v>131</v>
      </c>
      <c r="B38" s="175">
        <v>1102</v>
      </c>
      <c r="C38" s="188">
        <v>226</v>
      </c>
      <c r="D38" s="169">
        <f t="shared" si="0"/>
        <v>56.5</v>
      </c>
      <c r="E38" s="173">
        <f t="shared" si="9"/>
        <v>1158.5</v>
      </c>
      <c r="F38" s="163">
        <v>284.75</v>
      </c>
      <c r="G38" s="123">
        <f t="shared" si="6"/>
        <v>4.068481123792801</v>
      </c>
      <c r="H38" s="182">
        <f>(F38-39.5)*(16.44)+(F38-39.5)*(73%*8.22)+(39.5*11.25)</f>
        <v>5947.932150000001</v>
      </c>
      <c r="I38" s="130">
        <f t="shared" si="1"/>
        <v>2.269868001930097</v>
      </c>
      <c r="J38" s="102" t="s">
        <v>118</v>
      </c>
      <c r="K38" s="164">
        <v>7526</v>
      </c>
      <c r="L38" s="164">
        <v>5835</v>
      </c>
      <c r="M38" s="169">
        <f>L38/4</f>
        <v>1458.75</v>
      </c>
      <c r="N38" s="162">
        <f>SUM(K38+M38)</f>
        <v>8984.75</v>
      </c>
      <c r="O38" s="160">
        <v>376.75</v>
      </c>
      <c r="P38" s="123">
        <f>N38/O38</f>
        <v>23.848042468480426</v>
      </c>
      <c r="Q38" s="140">
        <f>(O38-38.75)*(16.44)+(O38-38.75)*(73%*8.22)+(38.75*11.25)+254</f>
        <v>8274.8603</v>
      </c>
      <c r="R38" s="128">
        <f>Q38/(K38*1.96+L38*1.36)</f>
        <v>0.364747246828078</v>
      </c>
    </row>
    <row r="39" spans="1:18" ht="15.75" thickBot="1">
      <c r="A39" s="102" t="s">
        <v>98</v>
      </c>
      <c r="B39" s="175">
        <v>7128</v>
      </c>
      <c r="C39" s="188">
        <v>6979</v>
      </c>
      <c r="D39" s="169">
        <f t="shared" si="0"/>
        <v>1744.75</v>
      </c>
      <c r="E39" s="173">
        <f t="shared" si="9"/>
        <v>8872.75</v>
      </c>
      <c r="F39" s="163">
        <v>241.5</v>
      </c>
      <c r="G39" s="123">
        <f t="shared" si="6"/>
        <v>36.74016563146998</v>
      </c>
      <c r="H39" s="182">
        <f>(F39-108.5)*(16.44)+(F39-108.5)*(73%*8.22)+(108.5*11.25)+185.63</f>
        <v>4390.8548</v>
      </c>
      <c r="I39" s="130">
        <f t="shared" si="1"/>
        <v>0.17693084598242</v>
      </c>
      <c r="J39" s="101" t="s">
        <v>100</v>
      </c>
      <c r="K39" s="164">
        <v>7200</v>
      </c>
      <c r="L39" s="164">
        <v>6480</v>
      </c>
      <c r="M39" s="169">
        <f>L39/4</f>
        <v>1620</v>
      </c>
      <c r="N39" s="162">
        <f>SUM(K39+M39)</f>
        <v>8820</v>
      </c>
      <c r="O39" s="163">
        <v>383.8</v>
      </c>
      <c r="P39" s="123">
        <f>N39/O39</f>
        <v>22.980719124544034</v>
      </c>
      <c r="Q39" s="140">
        <f>(O39-97)*(16.44)+(O39-97)*(73%*8.22)+(97*11.25)</f>
        <v>7527.214080000001</v>
      </c>
      <c r="R39" s="128">
        <f>Q39/(K39*1.96+L39*1.36)</f>
        <v>0.3283437185929648</v>
      </c>
    </row>
    <row r="40" spans="1:18" ht="15.75" thickBot="1">
      <c r="A40" s="101" t="s">
        <v>62</v>
      </c>
      <c r="B40" s="175">
        <v>6743</v>
      </c>
      <c r="C40" s="188">
        <v>7236</v>
      </c>
      <c r="D40" s="169">
        <f>C40/2</f>
        <v>3618</v>
      </c>
      <c r="E40" s="173">
        <f t="shared" si="9"/>
        <v>10361</v>
      </c>
      <c r="F40" s="163">
        <v>582</v>
      </c>
      <c r="G40" s="123">
        <f t="shared" si="6"/>
        <v>17.802405498281786</v>
      </c>
      <c r="H40" s="182">
        <f>(F40-23)*(16.44)+(F40-23)*(73%*8.22)+(23*11.25)</f>
        <v>12803.0454</v>
      </c>
      <c r="I40" s="130">
        <f t="shared" si="1"/>
        <v>0.5251370607790404</v>
      </c>
      <c r="J40" s="102" t="s">
        <v>111</v>
      </c>
      <c r="K40" s="164">
        <v>7300</v>
      </c>
      <c r="L40" s="164">
        <v>5130</v>
      </c>
      <c r="M40" s="169">
        <f>L40/4</f>
        <v>1282.5</v>
      </c>
      <c r="N40" s="162">
        <f>SUM(K40+M40)</f>
        <v>8582.5</v>
      </c>
      <c r="O40" s="160">
        <v>412.25</v>
      </c>
      <c r="P40" s="123">
        <f>N40/O40</f>
        <v>20.81867798665858</v>
      </c>
      <c r="Q40" s="140">
        <f>(O40-3.25)*(16.44)+(O40-3.25)*(73%*8.22)+(3.25*11.25)</f>
        <v>9214.7679</v>
      </c>
      <c r="R40" s="128">
        <f>Q40/(K40*1.96+L40*1.36)</f>
        <v>0.43292715458919045</v>
      </c>
    </row>
    <row r="41" spans="1:18" ht="15.75" thickBot="1">
      <c r="A41" s="101" t="s">
        <v>71</v>
      </c>
      <c r="B41" s="175">
        <v>8291</v>
      </c>
      <c r="C41" s="188">
        <v>6550</v>
      </c>
      <c r="D41" s="169">
        <f>C41/2</f>
        <v>3275</v>
      </c>
      <c r="E41" s="173">
        <f t="shared" si="9"/>
        <v>11566</v>
      </c>
      <c r="F41" s="163">
        <v>430.25</v>
      </c>
      <c r="G41" s="123">
        <f t="shared" si="6"/>
        <v>26.882045322486928</v>
      </c>
      <c r="H41" s="182">
        <f>(F41-0)*(16.44)+(F41-0)*(73%*8.22)+(0*11.25)*371.25</f>
        <v>9655.068150000001</v>
      </c>
      <c r="I41" s="130">
        <f t="shared" si="1"/>
        <v>0.36255879635144433</v>
      </c>
      <c r="J41" s="101" t="s">
        <v>113</v>
      </c>
      <c r="K41" s="164">
        <v>6840</v>
      </c>
      <c r="L41" s="164">
        <v>4560</v>
      </c>
      <c r="M41" s="169">
        <f>L41/4</f>
        <v>1140</v>
      </c>
      <c r="N41" s="162">
        <f>SUM(K41+M41)</f>
        <v>7980</v>
      </c>
      <c r="O41" s="160">
        <v>366.75</v>
      </c>
      <c r="P41" s="123">
        <f>N41/O41</f>
        <v>21.75869120654397</v>
      </c>
      <c r="Q41" s="140">
        <f>(O41-125.75)*(16.44)+(O41-124.75)*(73%*8.22)+(124.75*11.25)</f>
        <v>6817.622700000001</v>
      </c>
      <c r="R41" s="128">
        <f>Q41/(K41*1.96+L41*1.36)</f>
        <v>0.347695976132191</v>
      </c>
    </row>
    <row r="42" spans="1:18" ht="15.75" thickBot="1">
      <c r="A42" s="101" t="s">
        <v>99</v>
      </c>
      <c r="B42" s="175">
        <v>7451</v>
      </c>
      <c r="C42" s="188">
        <v>6107</v>
      </c>
      <c r="D42" s="169">
        <f t="shared" si="0"/>
        <v>1526.75</v>
      </c>
      <c r="E42" s="173">
        <f t="shared" si="9"/>
        <v>8977.75</v>
      </c>
      <c r="F42" s="163">
        <v>515.5</v>
      </c>
      <c r="G42" s="123">
        <f t="shared" si="6"/>
        <v>17.41561590688652</v>
      </c>
      <c r="H42" s="182">
        <f>(F42-3)*(16.44)+(F42-3)*(73%*8.22)+(3*11.25)+371.25</f>
        <v>11905.8075</v>
      </c>
      <c r="I42" s="130">
        <f t="shared" si="1"/>
        <v>0.4910239567393064</v>
      </c>
      <c r="J42" s="102" t="s">
        <v>69</v>
      </c>
      <c r="K42" s="164">
        <v>6190</v>
      </c>
      <c r="L42" s="164">
        <v>5800</v>
      </c>
      <c r="M42" s="169">
        <f aca="true" t="shared" si="10" ref="M42:M47">L42/4</f>
        <v>1450</v>
      </c>
      <c r="N42" s="162">
        <f>SUM(K42+M42)</f>
        <v>7640</v>
      </c>
      <c r="O42" s="160">
        <v>319.05</v>
      </c>
      <c r="P42" s="123">
        <f aca="true" t="shared" si="11" ref="P42:P47">N42/O42</f>
        <v>23.946089954552576</v>
      </c>
      <c r="Q42" s="140">
        <f>(O42-48.25)*(16.44)+(O42-48.25)*(73%*8.22)+(48.25*11.25)+297</f>
        <v>6916.72698</v>
      </c>
      <c r="R42" s="128">
        <f aca="true" t="shared" si="12" ref="R42:R47">Q42/(K42*1.96+L42*1.36)</f>
        <v>0.3454839553655272</v>
      </c>
    </row>
    <row r="43" spans="1:18" ht="15.75" thickBot="1">
      <c r="A43" s="104" t="s">
        <v>100</v>
      </c>
      <c r="B43" s="175">
        <v>6425</v>
      </c>
      <c r="C43" s="188">
        <v>5717</v>
      </c>
      <c r="D43" s="169">
        <f t="shared" si="0"/>
        <v>1429.25</v>
      </c>
      <c r="E43" s="173">
        <f t="shared" si="9"/>
        <v>7854.25</v>
      </c>
      <c r="F43" s="163">
        <v>411.5</v>
      </c>
      <c r="G43" s="123">
        <f t="shared" si="6"/>
        <v>19.086877278250302</v>
      </c>
      <c r="H43" s="182">
        <f>(F43-92.75)*(16.44)+(F43-92.75)*(73%*8.22)+(92.75*11.25)</f>
        <v>8196.37875</v>
      </c>
      <c r="I43" s="130">
        <f t="shared" si="1"/>
        <v>0.38032233519744224</v>
      </c>
      <c r="J43" s="101" t="s">
        <v>116</v>
      </c>
      <c r="K43" s="164">
        <v>6325</v>
      </c>
      <c r="L43" s="164">
        <v>4314</v>
      </c>
      <c r="M43" s="169">
        <f t="shared" si="10"/>
        <v>1078.5</v>
      </c>
      <c r="N43" s="162">
        <f>SUM(K43+M43)</f>
        <v>7403.5</v>
      </c>
      <c r="O43" s="160">
        <v>304.5</v>
      </c>
      <c r="P43" s="123">
        <f t="shared" si="11"/>
        <v>24.313628899835795</v>
      </c>
      <c r="Q43" s="140">
        <f>(O43-2.25)*(16.44)+(O43-2.25)*(73%*8.22)+(2.25*11.25)+314</f>
        <v>7121.9838500000005</v>
      </c>
      <c r="R43" s="128">
        <f t="shared" si="12"/>
        <v>0.38994569930858675</v>
      </c>
    </row>
    <row r="44" spans="1:18" ht="15.75" thickBot="1">
      <c r="A44" s="102" t="s">
        <v>59</v>
      </c>
      <c r="B44" s="175">
        <v>12659</v>
      </c>
      <c r="C44" s="188">
        <v>5990</v>
      </c>
      <c r="D44" s="169">
        <f>C44/2</f>
        <v>2995</v>
      </c>
      <c r="E44" s="173">
        <f t="shared" si="9"/>
        <v>15654</v>
      </c>
      <c r="F44" s="163">
        <v>1186.6</v>
      </c>
      <c r="G44" s="123">
        <f t="shared" si="6"/>
        <v>13.19231417495365</v>
      </c>
      <c r="H44" s="182">
        <f>(F44-132.75)*(16.44)+(F44-132.75)*(73%*8.22)+(132.75*11.25)</f>
        <v>25142.463809999997</v>
      </c>
      <c r="I44" s="130">
        <f t="shared" si="1"/>
        <v>0.719572832503701</v>
      </c>
      <c r="J44" s="101" t="s">
        <v>72</v>
      </c>
      <c r="K44" s="164">
        <v>4750</v>
      </c>
      <c r="L44" s="164">
        <v>1140</v>
      </c>
      <c r="M44" s="169">
        <f t="shared" si="10"/>
        <v>285</v>
      </c>
      <c r="N44" s="162">
        <f>SUM(K44+M44)</f>
        <v>5035</v>
      </c>
      <c r="O44" s="163">
        <v>261.75</v>
      </c>
      <c r="P44" s="123">
        <f t="shared" si="11"/>
        <v>19.23591212989494</v>
      </c>
      <c r="Q44" s="140">
        <f>(O44-60.75)*(16.44)+(O44-60.75)*(73%*8.22)+(60.75*11.25)</f>
        <v>5193.9981</v>
      </c>
      <c r="R44" s="128">
        <f t="shared" si="12"/>
        <v>0.4782510865161504</v>
      </c>
    </row>
    <row r="45" spans="1:18" ht="15.75" thickBot="1">
      <c r="A45" s="101" t="s">
        <v>102</v>
      </c>
      <c r="B45" s="175">
        <v>9373</v>
      </c>
      <c r="C45" s="188">
        <v>6851</v>
      </c>
      <c r="D45" s="169">
        <f t="shared" si="0"/>
        <v>1712.75</v>
      </c>
      <c r="E45" s="173">
        <f t="shared" si="9"/>
        <v>11085.75</v>
      </c>
      <c r="F45" s="163">
        <v>586.5</v>
      </c>
      <c r="G45" s="123">
        <f t="shared" si="6"/>
        <v>18.90153452685422</v>
      </c>
      <c r="H45" s="182">
        <f>(F45-29.5)*(16.44)+(F45-29.5)*(73%*8.22)+(29.5*11.25)+408.38</f>
        <v>13239.669199999998</v>
      </c>
      <c r="I45" s="130">
        <f t="shared" si="1"/>
        <v>0.45161953002001276</v>
      </c>
      <c r="J45" s="102" t="s">
        <v>70</v>
      </c>
      <c r="K45" s="164">
        <v>3801</v>
      </c>
      <c r="L45" s="164">
        <v>3721</v>
      </c>
      <c r="M45" s="169">
        <f t="shared" si="10"/>
        <v>930.25</v>
      </c>
      <c r="N45" s="162">
        <f>SUM(K45+M45)</f>
        <v>4731.25</v>
      </c>
      <c r="O45" s="160">
        <v>148.5</v>
      </c>
      <c r="P45" s="123">
        <f t="shared" si="11"/>
        <v>31.86026936026936</v>
      </c>
      <c r="Q45" s="140">
        <f>(O45-44)*(16.44)+(O45-44)*(73%*8.22)+(44*11.25)+213</f>
        <v>3053.0427000000004</v>
      </c>
      <c r="R45" s="128">
        <f t="shared" si="12"/>
        <v>0.2440380335909299</v>
      </c>
    </row>
    <row r="46" spans="1:18" ht="15.75" thickBot="1">
      <c r="A46" s="101" t="s">
        <v>72</v>
      </c>
      <c r="B46" s="175">
        <v>4850</v>
      </c>
      <c r="C46" s="188">
        <v>3075</v>
      </c>
      <c r="D46" s="169">
        <v>1311</v>
      </c>
      <c r="E46" s="173">
        <f t="shared" si="9"/>
        <v>6161</v>
      </c>
      <c r="F46" s="163">
        <v>416.25</v>
      </c>
      <c r="G46" s="123">
        <f t="shared" si="6"/>
        <v>14.8012012012012</v>
      </c>
      <c r="H46" s="182">
        <f>(F46-96.25)*(16.44)+(F46-96.25)*(73%*8.22)+(96.25*11.25)</f>
        <v>8263.8045</v>
      </c>
      <c r="I46" s="130">
        <f t="shared" si="1"/>
        <v>0.5699513557355816</v>
      </c>
      <c r="J46" s="101" t="s">
        <v>110</v>
      </c>
      <c r="K46" s="164">
        <v>3121</v>
      </c>
      <c r="L46" s="164">
        <v>3172</v>
      </c>
      <c r="M46" s="169">
        <f t="shared" si="10"/>
        <v>793</v>
      </c>
      <c r="N46" s="162">
        <f>SUM(K46+M46)</f>
        <v>3914</v>
      </c>
      <c r="O46" s="160">
        <v>182.5</v>
      </c>
      <c r="P46" s="123">
        <f t="shared" si="11"/>
        <v>21.446575342465753</v>
      </c>
      <c r="Q46" s="140">
        <f>(O46-23.5)*(16.44)+(O46-23.5)*(73%*8.22)+(23.5*11.25)+116</f>
        <v>3948.4304</v>
      </c>
      <c r="R46" s="128">
        <f t="shared" si="12"/>
        <v>0.3785255601529276</v>
      </c>
    </row>
    <row r="47" spans="1:18" ht="15.75" thickBot="1">
      <c r="A47" s="101" t="s">
        <v>58</v>
      </c>
      <c r="B47" s="175">
        <v>4590</v>
      </c>
      <c r="C47" s="188">
        <v>4419</v>
      </c>
      <c r="D47" s="169">
        <f t="shared" si="0"/>
        <v>1104.75</v>
      </c>
      <c r="E47" s="173">
        <f t="shared" si="9"/>
        <v>5694.75</v>
      </c>
      <c r="F47" s="163">
        <v>197.5</v>
      </c>
      <c r="G47" s="123">
        <f t="shared" si="6"/>
        <v>28.83417721518987</v>
      </c>
      <c r="H47" s="182">
        <f>(F47-81.5)*(16.44)+(F47-81.5)*(73%*8.22)+(81.5*11.25)</f>
        <v>3519.9846000000002</v>
      </c>
      <c r="I47" s="130">
        <f t="shared" si="1"/>
        <v>0.22175254575556214</v>
      </c>
      <c r="J47" s="102" t="s">
        <v>121</v>
      </c>
      <c r="K47" s="164">
        <v>2423</v>
      </c>
      <c r="L47" s="164">
        <v>1681</v>
      </c>
      <c r="M47" s="169">
        <f t="shared" si="10"/>
        <v>420.25</v>
      </c>
      <c r="N47" s="162">
        <f>SUM(K47+M47)</f>
        <v>2843.25</v>
      </c>
      <c r="O47" s="160">
        <v>243</v>
      </c>
      <c r="P47" s="123">
        <f t="shared" si="11"/>
        <v>11.700617283950617</v>
      </c>
      <c r="Q47" s="140">
        <f>(O47-15)*(16.44)+(O47-15)*(73%*8.22)+(15*11.25)+264</f>
        <v>5549.2068</v>
      </c>
      <c r="R47" s="128">
        <f t="shared" si="12"/>
        <v>0.7887729203268119</v>
      </c>
    </row>
    <row r="48" spans="1:18" ht="15.75" thickBot="1">
      <c r="A48" s="125"/>
      <c r="B48" s="190">
        <f>SUM(B2:B47)</f>
        <v>262742</v>
      </c>
      <c r="C48" s="190">
        <f>SUM(C2:C47)</f>
        <v>201685</v>
      </c>
      <c r="D48" s="190">
        <f>SUM(D2:D47)</f>
        <v>64597</v>
      </c>
      <c r="E48" s="189">
        <f>SUM(E2:E47)</f>
        <v>327339</v>
      </c>
      <c r="F48" s="241">
        <f>SUM(F2:F47)</f>
        <v>19127.1</v>
      </c>
      <c r="G48" s="123"/>
      <c r="H48" s="217">
        <f>SUM(H2:H47)</f>
        <v>410204.0377099999</v>
      </c>
      <c r="I48" s="210">
        <f>H48/D50</f>
        <v>0.4909246176083695</v>
      </c>
      <c r="J48" s="102"/>
      <c r="K48" s="164"/>
      <c r="L48" s="164"/>
      <c r="M48" s="169"/>
      <c r="N48" s="162"/>
      <c r="O48" s="118"/>
      <c r="P48" s="123"/>
      <c r="Q48" s="140"/>
      <c r="R48" s="128"/>
    </row>
    <row r="49" spans="1:18" ht="17.25" customHeight="1">
      <c r="A49" s="202" t="s">
        <v>82</v>
      </c>
      <c r="B49" s="190"/>
      <c r="C49" s="190"/>
      <c r="D49" s="190"/>
      <c r="E49" s="189"/>
      <c r="F49" s="192"/>
      <c r="G49" s="201"/>
      <c r="H49" s="242">
        <v>65698.08</v>
      </c>
      <c r="I49" s="130" t="e">
        <f>H49/(B49*2.085+C49*1.425)</f>
        <v>#DIV/0!</v>
      </c>
      <c r="J49" s="102"/>
      <c r="K49" s="164"/>
      <c r="L49" s="164"/>
      <c r="M49" s="169"/>
      <c r="N49" s="162"/>
      <c r="O49" s="118"/>
      <c r="P49" s="123"/>
      <c r="Q49" s="140"/>
      <c r="R49" s="128"/>
    </row>
    <row r="50" spans="1:18" ht="15.75" thickBot="1">
      <c r="A50" s="84" t="s">
        <v>49</v>
      </c>
      <c r="B50" s="191">
        <f>B48*2.0854</f>
        <v>547922.1668</v>
      </c>
      <c r="C50" s="191">
        <f>C48*1.426245</f>
        <v>287652.222825</v>
      </c>
      <c r="D50" s="219">
        <f>SUM(B50:C50)</f>
        <v>835574.3896250001</v>
      </c>
      <c r="E50" s="220"/>
      <c r="F50" s="114"/>
      <c r="G50" s="115"/>
      <c r="H50" s="218">
        <f>SUM(H48:H49)</f>
        <v>475902.1177099999</v>
      </c>
      <c r="I50" s="211">
        <f>H50/D50</f>
        <v>0.5695508665884093</v>
      </c>
      <c r="J50" s="141" t="s">
        <v>78</v>
      </c>
      <c r="K50" s="164"/>
      <c r="L50" s="164"/>
      <c r="M50" s="171"/>
      <c r="N50" s="166"/>
      <c r="O50" s="153"/>
      <c r="P50" s="20"/>
      <c r="Q50" s="20"/>
      <c r="R50" s="20"/>
    </row>
    <row r="51" spans="6:18" ht="15">
      <c r="F51" s="243">
        <f>SUM(F48:F52)</f>
        <v>21796.1</v>
      </c>
      <c r="J51" s="102" t="s">
        <v>97</v>
      </c>
      <c r="K51" s="164">
        <v>4160</v>
      </c>
      <c r="L51" s="164">
        <v>1995</v>
      </c>
      <c r="M51" s="169">
        <f>L51/4</f>
        <v>498.75</v>
      </c>
      <c r="N51" s="162">
        <f>SUM(K51+M51)</f>
        <v>4658.75</v>
      </c>
      <c r="O51" s="163">
        <v>138.8</v>
      </c>
      <c r="P51" s="123">
        <f>N51/O51</f>
        <v>33.56448126801153</v>
      </c>
      <c r="Q51" s="140">
        <f>(O51-20)*(16.44)+(O51-20)*(73%*8.22)+(20*11.25)+116</f>
        <v>3006.9432800000004</v>
      </c>
      <c r="R51" s="128">
        <f>Q51/(K51*1.96+L51*1.36)</f>
        <v>0.2767091765745206</v>
      </c>
    </row>
    <row r="52" spans="1:18" ht="15.75" thickBot="1">
      <c r="A52" s="101" t="s">
        <v>137</v>
      </c>
      <c r="B52" s="7"/>
      <c r="C52" s="7"/>
      <c r="D52" s="7"/>
      <c r="E52" s="12">
        <v>275742</v>
      </c>
      <c r="F52" s="245">
        <v>2669</v>
      </c>
      <c r="G52" s="11"/>
      <c r="H52" s="60"/>
      <c r="I52" s="246"/>
      <c r="J52" s="102" t="s">
        <v>98</v>
      </c>
      <c r="K52" s="164">
        <v>7225</v>
      </c>
      <c r="L52" s="164">
        <v>6762</v>
      </c>
      <c r="M52" s="169">
        <f>L52/4</f>
        <v>1690.5</v>
      </c>
      <c r="N52" s="162">
        <f>SUM(K52+M52)</f>
        <v>8915.5</v>
      </c>
      <c r="O52" s="163">
        <v>212.75</v>
      </c>
      <c r="P52" s="123">
        <f>N52/O52</f>
        <v>41.90599294947121</v>
      </c>
      <c r="Q52" s="140">
        <f>(O52-91.75)*(16.44)+(O52-91.75)*(73%*8.22)+(91.75*11.25)+186</f>
        <v>3933.5001</v>
      </c>
      <c r="R52" s="128">
        <f>Q52/(K52*1.96+L52*1.36)</f>
        <v>0.1684054549066417</v>
      </c>
    </row>
    <row r="53" spans="1:18" ht="18.75" thickBot="1">
      <c r="A53" s="91" t="s">
        <v>50</v>
      </c>
      <c r="B53" s="75"/>
      <c r="C53" s="75"/>
      <c r="D53" s="248" t="s">
        <v>16</v>
      </c>
      <c r="E53" s="75" t="s">
        <v>15</v>
      </c>
      <c r="F53" s="247">
        <f>E48/F51</f>
        <v>16.725526585031268</v>
      </c>
      <c r="H53" s="203"/>
      <c r="I53" s="75"/>
      <c r="J53" s="101" t="s">
        <v>58</v>
      </c>
      <c r="K53" s="164">
        <v>3690</v>
      </c>
      <c r="L53" s="164">
        <v>3551</v>
      </c>
      <c r="M53" s="169">
        <f>L53/4</f>
        <v>887.75</v>
      </c>
      <c r="N53" s="162">
        <f>SUM(K53+M53)</f>
        <v>4577.75</v>
      </c>
      <c r="O53" s="163">
        <v>179.25</v>
      </c>
      <c r="P53" s="123">
        <f>N53/O53</f>
        <v>25.538354253835426</v>
      </c>
      <c r="Q53" s="140">
        <f>(O53-85.75)*(16.44)+(O53-85.75)*(73%*8.22)+(85.75*11.25)+129</f>
        <v>3191.8836</v>
      </c>
      <c r="R53" s="128">
        <f>Q53/(K53*1.96+L53*1.36)</f>
        <v>0.2646283461120102</v>
      </c>
    </row>
    <row r="54" spans="1:18" ht="15">
      <c r="A54" s="214" t="s">
        <v>51</v>
      </c>
      <c r="J54" s="101" t="s">
        <v>73</v>
      </c>
      <c r="K54" s="164">
        <v>3912</v>
      </c>
      <c r="L54" s="164">
        <v>2253</v>
      </c>
      <c r="M54" s="169">
        <f>L54/4</f>
        <v>563.25</v>
      </c>
      <c r="N54" s="162">
        <f>SUM(K54+M54)</f>
        <v>4475.25</v>
      </c>
      <c r="O54" s="160">
        <v>332.25</v>
      </c>
      <c r="P54" s="123">
        <f>N54/O54</f>
        <v>13.469525959367946</v>
      </c>
      <c r="Q54" s="140">
        <f>(O54*16.44)+(O54*73%*8.22)</f>
        <v>7455.88935</v>
      </c>
      <c r="R54" s="128">
        <f>Q54/(K54*1.96+L54*1.36)</f>
        <v>0.6947602733981886</v>
      </c>
    </row>
    <row r="55" spans="1:18" ht="15">
      <c r="A55" s="215" t="s">
        <v>0</v>
      </c>
      <c r="J55" s="102" t="s">
        <v>114</v>
      </c>
      <c r="K55" s="164">
        <v>0</v>
      </c>
      <c r="L55" s="164">
        <v>0</v>
      </c>
      <c r="M55" s="169">
        <f>L55/4</f>
        <v>0</v>
      </c>
      <c r="N55" s="162">
        <v>0</v>
      </c>
      <c r="O55" s="133">
        <v>0</v>
      </c>
      <c r="P55" s="123">
        <v>0</v>
      </c>
      <c r="Q55" s="152">
        <v>0</v>
      </c>
      <c r="R55" s="128">
        <v>0</v>
      </c>
    </row>
    <row r="56" spans="1:18" ht="15">
      <c r="A56" s="214" t="s">
        <v>53</v>
      </c>
      <c r="J56" s="154"/>
      <c r="K56" s="155">
        <f>SUM(K3:K55)</f>
        <v>276109</v>
      </c>
      <c r="L56" s="155">
        <f>SUM(L3:L55)</f>
        <v>199100</v>
      </c>
      <c r="M56" s="172">
        <f>SUM(M3:M55)</f>
        <v>62509</v>
      </c>
      <c r="N56" s="155">
        <f>SUM(N3:N55)</f>
        <v>338618</v>
      </c>
      <c r="O56" s="156">
        <f>SUM(O3:O55)</f>
        <v>17665.299999999996</v>
      </c>
      <c r="P56" s="48"/>
      <c r="Q56" s="157">
        <f>SUM(Q3:Q55)</f>
        <v>381105.91123</v>
      </c>
      <c r="R56" s="48"/>
    </row>
    <row r="57" spans="1:18" ht="15.75" thickBot="1">
      <c r="A57" s="214" t="s">
        <v>57</v>
      </c>
      <c r="B57" s="92"/>
      <c r="C57" s="92"/>
      <c r="J57" s="158"/>
      <c r="K57" s="112">
        <f>K56*1.96</f>
        <v>541173.64</v>
      </c>
      <c r="L57" s="112">
        <f>L56*1.36</f>
        <v>270776</v>
      </c>
      <c r="M57" s="113">
        <f>SUM(K57:L57)</f>
        <v>811949.64</v>
      </c>
      <c r="N57" s="158"/>
      <c r="O57" s="158"/>
      <c r="P57" s="115">
        <f>N56/O56</f>
        <v>19.168539453052034</v>
      </c>
      <c r="Q57" s="158"/>
      <c r="R57" s="122">
        <f>Q56/M57</f>
        <v>0.4693713654827164</v>
      </c>
    </row>
    <row r="58" spans="1:10" ht="15.75" thickTop="1">
      <c r="A58" s="214" t="s">
        <v>65</v>
      </c>
      <c r="J58" s="93"/>
    </row>
    <row r="59" spans="1:10" ht="15">
      <c r="A59" s="214" t="s">
        <v>66</v>
      </c>
      <c r="J59" s="92"/>
    </row>
    <row r="60" spans="1:12" ht="15">
      <c r="A60" s="212" t="s">
        <v>84</v>
      </c>
      <c r="J60" s="92"/>
      <c r="K60" s="92"/>
      <c r="L60" s="92"/>
    </row>
    <row r="61" spans="1:7" ht="15">
      <c r="A61" s="213" t="s">
        <v>1</v>
      </c>
      <c r="F61" s="49"/>
      <c r="G61" s="49"/>
    </row>
    <row r="62" spans="6:7" ht="15">
      <c r="F62" s="49"/>
      <c r="G62" s="49"/>
    </row>
    <row r="63" spans="6:7" ht="15">
      <c r="F63" s="49"/>
      <c r="G63" s="49"/>
    </row>
    <row r="64" spans="6:7" ht="15">
      <c r="F64" s="49"/>
      <c r="G64" s="49"/>
    </row>
  </sheetData>
  <printOptions/>
  <pageMargins left="0" right="0" top="0.5" bottom="0.5" header="0.05" footer="0"/>
  <pageSetup horizontalDpi="600" verticalDpi="600" orientation="landscape"/>
  <headerFooter alignWithMargins="0">
    <oddHeader>&amp;C&amp;14Meals Per Lbor Hour Calculation Work Sheet&amp;"-,Bold"   NOVEMBER  &amp;KFF00002012 -2013  SY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zoomScale="120" zoomScaleNormal="120" workbookViewId="0" topLeftCell="B1">
      <selection activeCell="H54" sqref="H54"/>
    </sheetView>
  </sheetViews>
  <sheetFormatPr defaultColWidth="8.57421875" defaultRowHeight="15"/>
  <cols>
    <col min="1" max="1" width="35.57421875" style="43" customWidth="1"/>
    <col min="2" max="2" width="13.140625" style="43" customWidth="1"/>
    <col min="3" max="3" width="12.28125" style="43" customWidth="1"/>
    <col min="4" max="4" width="12.00390625" style="43" customWidth="1"/>
    <col min="5" max="5" width="13.57421875" style="43" customWidth="1"/>
    <col min="6" max="6" width="11.00390625" style="43" customWidth="1"/>
    <col min="7" max="7" width="13.8515625" style="43" customWidth="1"/>
    <col min="8" max="8" width="11.421875" style="43" customWidth="1"/>
    <col min="9" max="9" width="10.421875" style="43" customWidth="1"/>
    <col min="10" max="16384" width="8.57421875" style="43" customWidth="1"/>
  </cols>
  <sheetData>
    <row r="1" spans="1:9" ht="63.75" customHeight="1" thickBot="1">
      <c r="A1" s="68" t="s">
        <v>85</v>
      </c>
      <c r="B1" s="69" t="s">
        <v>87</v>
      </c>
      <c r="C1" s="69" t="s">
        <v>86</v>
      </c>
      <c r="D1" s="69" t="s">
        <v>94</v>
      </c>
      <c r="E1" s="70" t="s">
        <v>54</v>
      </c>
      <c r="F1" s="70" t="s">
        <v>96</v>
      </c>
      <c r="G1" s="71" t="s">
        <v>45</v>
      </c>
      <c r="H1" s="72" t="s">
        <v>48</v>
      </c>
      <c r="I1" s="72" t="s">
        <v>47</v>
      </c>
    </row>
    <row r="2" spans="1:9" ht="15.75" thickBot="1">
      <c r="A2" s="103" t="s">
        <v>104</v>
      </c>
      <c r="B2" s="62">
        <v>9690</v>
      </c>
      <c r="C2" s="62">
        <v>9310</v>
      </c>
      <c r="D2" s="63">
        <f>C2/4</f>
        <v>2327.5</v>
      </c>
      <c r="E2" s="64">
        <f>SUM(B2+D2)</f>
        <v>12017.5</v>
      </c>
      <c r="F2" s="64">
        <v>293</v>
      </c>
      <c r="G2" s="65">
        <f>E2/F2</f>
        <v>41.015358361774744</v>
      </c>
      <c r="H2" s="100">
        <f aca="true" t="shared" si="0" ref="H2:H14">(F2*16.44)+(F2*73%*8.22)</f>
        <v>6575.0958</v>
      </c>
      <c r="I2" s="67">
        <f>H2/(B2*1.96+C2*1.36)</f>
        <v>0.20771769128704112</v>
      </c>
    </row>
    <row r="3" spans="1:9" ht="15.75" thickBot="1">
      <c r="A3" s="101" t="s">
        <v>105</v>
      </c>
      <c r="B3" s="20">
        <v>7980</v>
      </c>
      <c r="C3" s="20">
        <v>6840</v>
      </c>
      <c r="D3" s="8">
        <f aca="true" t="shared" si="1" ref="D3:D47">C3/4</f>
        <v>1710</v>
      </c>
      <c r="E3" s="64">
        <f>SUM(B3+D3)</f>
        <v>9690</v>
      </c>
      <c r="F3" s="8">
        <v>223.25</v>
      </c>
      <c r="G3" s="11">
        <f>E3/F3</f>
        <v>43.40425531914894</v>
      </c>
      <c r="H3" s="100">
        <f t="shared" si="0"/>
        <v>5009.863950000001</v>
      </c>
      <c r="I3" s="67">
        <f aca="true" t="shared" si="2" ref="I3:I32">H3/(B3*1.96+C3*1.36)</f>
        <v>0.2008508912248629</v>
      </c>
    </row>
    <row r="4" spans="1:9" ht="15.75" thickBot="1">
      <c r="A4" s="102" t="s">
        <v>106</v>
      </c>
      <c r="B4" s="20">
        <v>7410</v>
      </c>
      <c r="C4" s="20">
        <v>6840</v>
      </c>
      <c r="D4" s="8">
        <f t="shared" si="1"/>
        <v>1710</v>
      </c>
      <c r="E4" s="64">
        <f>SUM(B4+D4)</f>
        <v>9120</v>
      </c>
      <c r="F4" s="8">
        <v>363.5</v>
      </c>
      <c r="G4" s="11">
        <f aca="true" t="shared" si="3" ref="G4:G47">E4/F4</f>
        <v>25.089408528198074</v>
      </c>
      <c r="H4" s="100">
        <f t="shared" si="0"/>
        <v>8157.158100000001</v>
      </c>
      <c r="I4" s="67">
        <f t="shared" si="2"/>
        <v>0.3423637245026442</v>
      </c>
    </row>
    <row r="5" spans="1:9" ht="15.75" thickBot="1">
      <c r="A5" s="102" t="s">
        <v>107</v>
      </c>
      <c r="B5" s="20">
        <v>6080</v>
      </c>
      <c r="C5" s="20">
        <v>2185</v>
      </c>
      <c r="D5" s="8">
        <f t="shared" si="1"/>
        <v>546.25</v>
      </c>
      <c r="E5" s="64">
        <f>SUM(B5+D5)</f>
        <v>6626.25</v>
      </c>
      <c r="F5" s="8">
        <v>495.5</v>
      </c>
      <c r="G5" s="11">
        <f t="shared" si="3"/>
        <v>13.372855701311806</v>
      </c>
      <c r="H5" s="100">
        <f t="shared" si="0"/>
        <v>11119.3173</v>
      </c>
      <c r="I5" s="67">
        <f t="shared" si="2"/>
        <v>0.746844341903764</v>
      </c>
    </row>
    <row r="6" spans="1:9" ht="15.75" thickBot="1">
      <c r="A6" s="102" t="s">
        <v>108</v>
      </c>
      <c r="B6" s="20">
        <v>8360</v>
      </c>
      <c r="C6" s="20">
        <v>6270</v>
      </c>
      <c r="D6" s="8">
        <f t="shared" si="1"/>
        <v>1567.5</v>
      </c>
      <c r="E6" s="64">
        <f>SUM(B6+D6)</f>
        <v>9927.5</v>
      </c>
      <c r="F6" s="8">
        <v>361</v>
      </c>
      <c r="G6" s="11">
        <f t="shared" si="3"/>
        <v>27.5</v>
      </c>
      <c r="H6" s="100">
        <f t="shared" si="0"/>
        <v>8101.0566</v>
      </c>
      <c r="I6" s="67">
        <f t="shared" si="2"/>
        <v>0.3251764795607078</v>
      </c>
    </row>
    <row r="7" spans="1:9" ht="15.75" thickBot="1">
      <c r="A7" s="101" t="s">
        <v>109</v>
      </c>
      <c r="B7" s="20">
        <v>6179</v>
      </c>
      <c r="C7" s="20">
        <v>6402</v>
      </c>
      <c r="D7" s="8">
        <f t="shared" si="1"/>
        <v>1600.5</v>
      </c>
      <c r="E7" s="64">
        <f aca="true" t="shared" si="4" ref="E7:E14">SUM(B7+D7)</f>
        <v>7779.5</v>
      </c>
      <c r="F7" s="8">
        <v>294</v>
      </c>
      <c r="G7" s="11">
        <f t="shared" si="3"/>
        <v>26.460884353741495</v>
      </c>
      <c r="H7" s="100">
        <f t="shared" si="0"/>
        <v>6597.536400000001</v>
      </c>
      <c r="I7" s="67">
        <f t="shared" si="2"/>
        <v>0.31692169495368333</v>
      </c>
    </row>
    <row r="8" spans="1:9" ht="15.75" thickBot="1">
      <c r="A8" s="102" t="s">
        <v>91</v>
      </c>
      <c r="B8" s="20">
        <v>7376</v>
      </c>
      <c r="C8" s="20">
        <v>6590</v>
      </c>
      <c r="D8" s="8">
        <f t="shared" si="1"/>
        <v>1647.5</v>
      </c>
      <c r="E8" s="64">
        <f t="shared" si="4"/>
        <v>9023.5</v>
      </c>
      <c r="F8" s="8">
        <v>391.25</v>
      </c>
      <c r="G8" s="11">
        <f t="shared" si="3"/>
        <v>23.06325878594249</v>
      </c>
      <c r="H8" s="100">
        <f t="shared" si="0"/>
        <v>8779.884750000001</v>
      </c>
      <c r="I8" s="67">
        <f t="shared" si="2"/>
        <v>0.3748985775016909</v>
      </c>
    </row>
    <row r="9" spans="1:9" ht="15.75" thickBot="1">
      <c r="A9" s="101" t="s">
        <v>110</v>
      </c>
      <c r="B9" s="20">
        <v>3121</v>
      </c>
      <c r="C9" s="20">
        <v>3172</v>
      </c>
      <c r="D9" s="8">
        <f t="shared" si="1"/>
        <v>793</v>
      </c>
      <c r="E9" s="64">
        <f t="shared" si="4"/>
        <v>3914</v>
      </c>
      <c r="F9" s="8">
        <v>159</v>
      </c>
      <c r="G9" s="11">
        <f t="shared" si="3"/>
        <v>24.61635220125786</v>
      </c>
      <c r="H9" s="100">
        <f t="shared" si="0"/>
        <v>3568.0554</v>
      </c>
      <c r="I9" s="67">
        <f t="shared" si="2"/>
        <v>0.34206001679595976</v>
      </c>
    </row>
    <row r="10" spans="1:9" ht="15.75" thickBot="1">
      <c r="A10" s="102" t="s">
        <v>111</v>
      </c>
      <c r="B10" s="20">
        <v>7300</v>
      </c>
      <c r="C10" s="20">
        <v>5130</v>
      </c>
      <c r="D10" s="8">
        <f t="shared" si="1"/>
        <v>1282.5</v>
      </c>
      <c r="E10" s="64">
        <f t="shared" si="4"/>
        <v>8582.5</v>
      </c>
      <c r="F10" s="8">
        <v>409</v>
      </c>
      <c r="G10" s="11">
        <f t="shared" si="3"/>
        <v>20.9841075794621</v>
      </c>
      <c r="H10" s="100">
        <f t="shared" si="0"/>
        <v>9178.2054</v>
      </c>
      <c r="I10" s="67">
        <f t="shared" si="2"/>
        <v>0.43120937946327903</v>
      </c>
    </row>
    <row r="11" spans="1:9" ht="15.75" thickBot="1">
      <c r="A11" s="101" t="s">
        <v>90</v>
      </c>
      <c r="B11" s="20">
        <v>8445</v>
      </c>
      <c r="C11" s="20">
        <v>5537</v>
      </c>
      <c r="D11" s="8">
        <f t="shared" si="1"/>
        <v>1384.25</v>
      </c>
      <c r="E11" s="64">
        <f t="shared" si="4"/>
        <v>9829.25</v>
      </c>
      <c r="F11" s="8">
        <v>266</v>
      </c>
      <c r="G11" s="11">
        <f t="shared" si="3"/>
        <v>36.95206766917293</v>
      </c>
      <c r="H11" s="100">
        <f t="shared" si="0"/>
        <v>5969.1996</v>
      </c>
      <c r="I11" s="67">
        <f t="shared" si="2"/>
        <v>0.24786440953853667</v>
      </c>
    </row>
    <row r="12" spans="1:9" ht="15.75" thickBot="1">
      <c r="A12" s="101" t="s">
        <v>112</v>
      </c>
      <c r="B12" s="20">
        <v>9853</v>
      </c>
      <c r="C12" s="20">
        <v>9167</v>
      </c>
      <c r="D12" s="8">
        <f t="shared" si="1"/>
        <v>2291.75</v>
      </c>
      <c r="E12" s="64">
        <f t="shared" si="4"/>
        <v>12144.75</v>
      </c>
      <c r="F12" s="8">
        <v>422.75</v>
      </c>
      <c r="G12" s="11">
        <f t="shared" si="3"/>
        <v>28.727971614429332</v>
      </c>
      <c r="H12" s="100">
        <f t="shared" si="0"/>
        <v>9486.76365</v>
      </c>
      <c r="I12" s="67">
        <f t="shared" si="2"/>
        <v>0.29852303879920705</v>
      </c>
    </row>
    <row r="13" spans="1:9" ht="15.75" thickBot="1">
      <c r="A13" s="102" t="s">
        <v>136</v>
      </c>
      <c r="B13" s="20">
        <v>6551</v>
      </c>
      <c r="C13" s="20">
        <v>1490</v>
      </c>
      <c r="D13" s="8">
        <f>C13/2</f>
        <v>745</v>
      </c>
      <c r="E13" s="64">
        <f t="shared" si="4"/>
        <v>7296</v>
      </c>
      <c r="F13" s="8">
        <v>539</v>
      </c>
      <c r="G13" s="11">
        <f t="shared" si="3"/>
        <v>13.536178107606679</v>
      </c>
      <c r="H13" s="100">
        <f t="shared" si="0"/>
        <v>12095.483400000001</v>
      </c>
      <c r="I13" s="67">
        <f t="shared" si="2"/>
        <v>0.8136143211922758</v>
      </c>
    </row>
    <row r="14" spans="1:9" ht="15">
      <c r="A14" s="101" t="s">
        <v>113</v>
      </c>
      <c r="B14" s="20">
        <v>6840</v>
      </c>
      <c r="C14" s="20">
        <v>4560</v>
      </c>
      <c r="D14" s="8">
        <f t="shared" si="1"/>
        <v>1140</v>
      </c>
      <c r="E14" s="64">
        <f t="shared" si="4"/>
        <v>7980</v>
      </c>
      <c r="F14" s="8">
        <v>242</v>
      </c>
      <c r="G14" s="11">
        <f t="shared" si="3"/>
        <v>32.97520661157025</v>
      </c>
      <c r="H14" s="100">
        <f t="shared" si="0"/>
        <v>5430.6252</v>
      </c>
      <c r="I14" s="67">
        <f t="shared" si="2"/>
        <v>0.27695966952264384</v>
      </c>
    </row>
    <row r="15" spans="1:9" ht="15.75" thickBot="1">
      <c r="A15" s="44" t="s">
        <v>114</v>
      </c>
      <c r="B15" s="20"/>
      <c r="C15" s="20"/>
      <c r="D15" s="8"/>
      <c r="E15" s="64"/>
      <c r="F15" s="8"/>
      <c r="G15" s="11"/>
      <c r="H15" s="66"/>
      <c r="I15" s="67"/>
    </row>
    <row r="16" spans="1:9" ht="15.75" thickBot="1">
      <c r="A16" s="101" t="s">
        <v>115</v>
      </c>
      <c r="B16" s="20">
        <v>6828</v>
      </c>
      <c r="C16" s="20">
        <v>4735</v>
      </c>
      <c r="D16" s="8">
        <f t="shared" si="1"/>
        <v>1183.75</v>
      </c>
      <c r="E16" s="64">
        <f aca="true" t="shared" si="5" ref="E16:E32">SUM(B16+D16)</f>
        <v>8011.75</v>
      </c>
      <c r="F16" s="8">
        <v>386.75</v>
      </c>
      <c r="G16" s="11">
        <f t="shared" si="3"/>
        <v>20.715578539107952</v>
      </c>
      <c r="H16" s="100">
        <f aca="true" t="shared" si="6" ref="H16:H32">(F16*16.44)+(F16*73%*8.22)</f>
        <v>8678.90205</v>
      </c>
      <c r="I16" s="67">
        <f t="shared" si="2"/>
        <v>0.43783129305717555</v>
      </c>
    </row>
    <row r="17" spans="1:9" ht="15.75" thickBot="1">
      <c r="A17" s="101" t="s">
        <v>116</v>
      </c>
      <c r="B17" s="20">
        <v>6325</v>
      </c>
      <c r="C17" s="20">
        <v>4314</v>
      </c>
      <c r="D17" s="8">
        <f t="shared" si="1"/>
        <v>1078.5</v>
      </c>
      <c r="E17" s="64">
        <f t="shared" si="5"/>
        <v>7403.5</v>
      </c>
      <c r="F17" s="8">
        <v>301.75</v>
      </c>
      <c r="G17" s="11">
        <f t="shared" si="3"/>
        <v>24.535211267605632</v>
      </c>
      <c r="H17" s="100">
        <f t="shared" si="6"/>
        <v>6771.451050000001</v>
      </c>
      <c r="I17" s="67">
        <f t="shared" si="2"/>
        <v>0.3707531876846525</v>
      </c>
    </row>
    <row r="18" spans="1:9" ht="15.75" thickBot="1">
      <c r="A18" s="101" t="s">
        <v>125</v>
      </c>
      <c r="B18" s="20">
        <v>11780</v>
      </c>
      <c r="C18" s="20">
        <v>10925</v>
      </c>
      <c r="D18" s="8">
        <f>C18/2</f>
        <v>5462.5</v>
      </c>
      <c r="E18" s="64">
        <f t="shared" si="5"/>
        <v>17242.5</v>
      </c>
      <c r="F18" s="8">
        <v>592</v>
      </c>
      <c r="G18" s="11">
        <f t="shared" si="3"/>
        <v>29.125844594594593</v>
      </c>
      <c r="H18" s="100">
        <f t="shared" si="6"/>
        <v>13284.835200000001</v>
      </c>
      <c r="I18" s="67">
        <f t="shared" si="2"/>
        <v>0.350091053791097</v>
      </c>
    </row>
    <row r="19" spans="1:9" ht="15.75" thickBot="1">
      <c r="A19" s="101" t="s">
        <v>117</v>
      </c>
      <c r="B19" s="20">
        <v>3912</v>
      </c>
      <c r="C19" s="20">
        <v>2253</v>
      </c>
      <c r="D19" s="8">
        <f t="shared" si="1"/>
        <v>563.25</v>
      </c>
      <c r="E19" s="64">
        <f t="shared" si="5"/>
        <v>4475.25</v>
      </c>
      <c r="F19" s="8">
        <v>332.25</v>
      </c>
      <c r="G19" s="11">
        <f t="shared" si="3"/>
        <v>13.469525959367946</v>
      </c>
      <c r="H19" s="100">
        <f t="shared" si="6"/>
        <v>7455.88935</v>
      </c>
      <c r="I19" s="67">
        <f t="shared" si="2"/>
        <v>0.6947602733981886</v>
      </c>
    </row>
    <row r="20" spans="1:9" ht="15.75" thickBot="1">
      <c r="A20" s="102" t="s">
        <v>132</v>
      </c>
      <c r="B20" s="20">
        <v>2651</v>
      </c>
      <c r="C20" s="20">
        <v>1309</v>
      </c>
      <c r="D20" s="8">
        <f>C20/2</f>
        <v>654.5</v>
      </c>
      <c r="E20" s="64">
        <f t="shared" si="5"/>
        <v>3305.5</v>
      </c>
      <c r="F20" s="8">
        <v>336.25</v>
      </c>
      <c r="G20" s="11">
        <f t="shared" si="3"/>
        <v>9.830483271375465</v>
      </c>
      <c r="H20" s="100">
        <f t="shared" si="6"/>
        <v>7545.651750000001</v>
      </c>
      <c r="I20" s="67">
        <f t="shared" si="2"/>
        <v>1.0816277844671884</v>
      </c>
    </row>
    <row r="21" spans="1:9" ht="15.75" thickBot="1">
      <c r="A21" s="102" t="s">
        <v>118</v>
      </c>
      <c r="B21" s="20">
        <v>7526</v>
      </c>
      <c r="C21" s="20">
        <v>5835</v>
      </c>
      <c r="D21" s="8">
        <f t="shared" si="1"/>
        <v>1458.75</v>
      </c>
      <c r="E21" s="64">
        <f t="shared" si="5"/>
        <v>8984.75</v>
      </c>
      <c r="F21" s="8">
        <v>338</v>
      </c>
      <c r="G21" s="11">
        <f t="shared" si="3"/>
        <v>26.582100591715978</v>
      </c>
      <c r="H21" s="100">
        <f t="shared" si="6"/>
        <v>7584.9228</v>
      </c>
      <c r="I21" s="67">
        <f t="shared" si="2"/>
        <v>0.3343355184743743</v>
      </c>
    </row>
    <row r="22" spans="1:9" ht="15.75" thickBot="1">
      <c r="A22" s="102" t="s">
        <v>133</v>
      </c>
      <c r="B22" s="20">
        <v>5494</v>
      </c>
      <c r="C22" s="20">
        <v>1125</v>
      </c>
      <c r="D22" s="8">
        <f>C22/2</f>
        <v>562.5</v>
      </c>
      <c r="E22" s="64">
        <f t="shared" si="5"/>
        <v>6056.5</v>
      </c>
      <c r="F22" s="8">
        <v>683.75</v>
      </c>
      <c r="G22" s="11">
        <f t="shared" si="3"/>
        <v>8.857769652650823</v>
      </c>
      <c r="H22" s="100">
        <f t="shared" si="6"/>
        <v>15343.76025</v>
      </c>
      <c r="I22" s="67">
        <f t="shared" si="2"/>
        <v>1.2476387068393526</v>
      </c>
    </row>
    <row r="23" spans="1:9" ht="15.75" thickBot="1">
      <c r="A23" s="102" t="s">
        <v>134</v>
      </c>
      <c r="B23" s="20">
        <v>2090</v>
      </c>
      <c r="C23" s="20">
        <v>1330</v>
      </c>
      <c r="D23" s="8">
        <f t="shared" si="1"/>
        <v>332.5</v>
      </c>
      <c r="E23" s="64">
        <f t="shared" si="5"/>
        <v>2422.5</v>
      </c>
      <c r="F23" s="8">
        <v>281.25</v>
      </c>
      <c r="G23" s="11">
        <f t="shared" si="3"/>
        <v>8.613333333333333</v>
      </c>
      <c r="H23" s="100">
        <f t="shared" si="6"/>
        <v>6311.41875</v>
      </c>
      <c r="I23" s="67">
        <f t="shared" si="2"/>
        <v>1.0687900071123755</v>
      </c>
    </row>
    <row r="24" spans="1:9" ht="15.75" thickBot="1">
      <c r="A24" s="102" t="s">
        <v>126</v>
      </c>
      <c r="B24" s="20">
        <v>9168</v>
      </c>
      <c r="C24" s="20">
        <v>2515</v>
      </c>
      <c r="D24" s="8">
        <f>C24/2</f>
        <v>1257.5</v>
      </c>
      <c r="E24" s="64">
        <f t="shared" si="5"/>
        <v>10425.5</v>
      </c>
      <c r="F24" s="8">
        <v>849.5</v>
      </c>
      <c r="G24" s="11">
        <f t="shared" si="3"/>
        <v>12.272513243084168</v>
      </c>
      <c r="H24" s="100">
        <f t="shared" si="6"/>
        <v>19063.2897</v>
      </c>
      <c r="I24" s="67">
        <f t="shared" si="2"/>
        <v>0.8912377230514903</v>
      </c>
    </row>
    <row r="25" spans="1:9" ht="15.75" thickBot="1">
      <c r="A25" s="102" t="s">
        <v>119</v>
      </c>
      <c r="B25" s="20">
        <v>6611</v>
      </c>
      <c r="C25" s="20">
        <v>5815</v>
      </c>
      <c r="D25" s="8">
        <f t="shared" si="1"/>
        <v>1453.75</v>
      </c>
      <c r="E25" s="64">
        <f t="shared" si="5"/>
        <v>8064.75</v>
      </c>
      <c r="F25" s="8">
        <v>293.75</v>
      </c>
      <c r="G25" s="11">
        <f t="shared" si="3"/>
        <v>27.454468085106384</v>
      </c>
      <c r="H25" s="100">
        <f t="shared" si="6"/>
        <v>6591.92625</v>
      </c>
      <c r="I25" s="67">
        <f t="shared" si="2"/>
        <v>0.31591770759648735</v>
      </c>
    </row>
    <row r="26" spans="1:9" ht="15.75" thickBot="1">
      <c r="A26" s="102" t="s">
        <v>120</v>
      </c>
      <c r="B26" s="20">
        <v>8291</v>
      </c>
      <c r="C26" s="20">
        <v>3630</v>
      </c>
      <c r="D26" s="8">
        <f t="shared" si="1"/>
        <v>907.5</v>
      </c>
      <c r="E26" s="64">
        <f t="shared" si="5"/>
        <v>9198.5</v>
      </c>
      <c r="F26" s="8">
        <v>368</v>
      </c>
      <c r="G26" s="11">
        <f t="shared" si="3"/>
        <v>24.995923913043477</v>
      </c>
      <c r="H26" s="100">
        <f t="shared" si="6"/>
        <v>8258.140800000001</v>
      </c>
      <c r="I26" s="67">
        <f t="shared" si="2"/>
        <v>0.389771012254592</v>
      </c>
    </row>
    <row r="27" spans="1:9" ht="15.75" thickBot="1">
      <c r="A27" s="105" t="s">
        <v>121</v>
      </c>
      <c r="B27" s="20">
        <v>2423</v>
      </c>
      <c r="C27" s="20">
        <v>1681</v>
      </c>
      <c r="D27" s="8">
        <f t="shared" si="1"/>
        <v>420.25</v>
      </c>
      <c r="E27" s="64">
        <f t="shared" si="5"/>
        <v>2843.25</v>
      </c>
      <c r="F27" s="8">
        <v>228</v>
      </c>
      <c r="G27" s="11">
        <f t="shared" si="3"/>
        <v>12.470394736842104</v>
      </c>
      <c r="H27" s="100">
        <f t="shared" si="6"/>
        <v>5116.4568</v>
      </c>
      <c r="I27" s="67">
        <f t="shared" si="2"/>
        <v>0.7272611595340032</v>
      </c>
    </row>
    <row r="28" spans="1:9" ht="15.75" thickBot="1">
      <c r="A28" s="102" t="s">
        <v>127</v>
      </c>
      <c r="B28" s="20">
        <v>7353</v>
      </c>
      <c r="C28" s="20">
        <v>7223</v>
      </c>
      <c r="D28" s="8">
        <f>C28/2</f>
        <v>3611.5</v>
      </c>
      <c r="E28" s="64">
        <f t="shared" si="5"/>
        <v>10964.5</v>
      </c>
      <c r="F28" s="8">
        <v>531</v>
      </c>
      <c r="G28" s="11">
        <f t="shared" si="3"/>
        <v>20.648775894538606</v>
      </c>
      <c r="H28" s="100">
        <f t="shared" si="6"/>
        <v>11915.958600000002</v>
      </c>
      <c r="I28" s="67">
        <f t="shared" si="2"/>
        <v>0.49168062434908627</v>
      </c>
    </row>
    <row r="29" spans="1:9" ht="15.75" thickBot="1">
      <c r="A29" s="102" t="s">
        <v>92</v>
      </c>
      <c r="B29" s="20">
        <v>6190</v>
      </c>
      <c r="C29" s="20">
        <v>5800</v>
      </c>
      <c r="D29" s="8">
        <f t="shared" si="1"/>
        <v>1450</v>
      </c>
      <c r="E29" s="64">
        <f t="shared" si="5"/>
        <v>7640</v>
      </c>
      <c r="F29" s="8">
        <v>270.75</v>
      </c>
      <c r="G29" s="11">
        <f t="shared" si="3"/>
        <v>28.21791320406279</v>
      </c>
      <c r="H29" s="100">
        <f t="shared" si="6"/>
        <v>6075.792450000001</v>
      </c>
      <c r="I29" s="67">
        <f t="shared" si="2"/>
        <v>0.30348007282571776</v>
      </c>
    </row>
    <row r="30" spans="1:9" ht="15.75" thickBot="1">
      <c r="A30" s="102" t="s">
        <v>135</v>
      </c>
      <c r="B30" s="20">
        <v>3230</v>
      </c>
      <c r="C30" s="20">
        <v>1330</v>
      </c>
      <c r="D30" s="8">
        <f>C30/2</f>
        <v>665</v>
      </c>
      <c r="E30" s="64">
        <f t="shared" si="5"/>
        <v>3895</v>
      </c>
      <c r="F30" s="8">
        <v>589</v>
      </c>
      <c r="G30" s="11">
        <f t="shared" si="3"/>
        <v>6.612903225806452</v>
      </c>
      <c r="H30" s="100">
        <f t="shared" si="6"/>
        <v>13217.5134</v>
      </c>
      <c r="I30" s="67">
        <f t="shared" si="2"/>
        <v>1.6238529411764704</v>
      </c>
    </row>
    <row r="31" spans="1:9" ht="15.75" thickBot="1">
      <c r="A31" s="102" t="s">
        <v>122</v>
      </c>
      <c r="B31" s="20">
        <v>3801</v>
      </c>
      <c r="C31" s="20">
        <v>3721</v>
      </c>
      <c r="D31" s="8">
        <f t="shared" si="1"/>
        <v>930.25</v>
      </c>
      <c r="E31" s="64">
        <f t="shared" si="5"/>
        <v>4731.25</v>
      </c>
      <c r="F31" s="8">
        <v>104.5</v>
      </c>
      <c r="G31" s="11">
        <f t="shared" si="3"/>
        <v>45.27511961722488</v>
      </c>
      <c r="H31" s="100">
        <f t="shared" si="6"/>
        <v>2345.0427000000004</v>
      </c>
      <c r="I31" s="67">
        <f t="shared" si="2"/>
        <v>0.18744566173108715</v>
      </c>
    </row>
    <row r="32" spans="1:9" ht="15">
      <c r="A32" s="102" t="s">
        <v>128</v>
      </c>
      <c r="B32" s="20">
        <v>8506</v>
      </c>
      <c r="C32" s="20">
        <v>4747</v>
      </c>
      <c r="D32" s="8">
        <f>C32/2</f>
        <v>2373.5</v>
      </c>
      <c r="E32" s="64">
        <f t="shared" si="5"/>
        <v>10879.5</v>
      </c>
      <c r="F32" s="8">
        <v>539.25</v>
      </c>
      <c r="G32" s="11">
        <f t="shared" si="3"/>
        <v>20.175243393602226</v>
      </c>
      <c r="H32" s="100">
        <f t="shared" si="6"/>
        <v>12101.093550000001</v>
      </c>
      <c r="I32" s="67">
        <f t="shared" si="2"/>
        <v>0.5232298937896063</v>
      </c>
    </row>
    <row r="33" spans="1:9" ht="76.5" customHeight="1" thickBot="1">
      <c r="A33" s="2" t="s">
        <v>85</v>
      </c>
      <c r="B33" s="73" t="s">
        <v>87</v>
      </c>
      <c r="C33" s="73" t="s">
        <v>86</v>
      </c>
      <c r="D33" s="74" t="s">
        <v>140</v>
      </c>
      <c r="E33" s="94" t="s">
        <v>54</v>
      </c>
      <c r="F33" s="74" t="s">
        <v>55</v>
      </c>
      <c r="G33" s="97" t="s">
        <v>46</v>
      </c>
      <c r="H33" s="72" t="s">
        <v>48</v>
      </c>
      <c r="I33" s="58" t="s">
        <v>47</v>
      </c>
    </row>
    <row r="34" spans="1:9" ht="15.75" thickBot="1">
      <c r="A34" s="102" t="s">
        <v>129</v>
      </c>
      <c r="B34" s="20">
        <v>2090</v>
      </c>
      <c r="C34" s="20">
        <v>836</v>
      </c>
      <c r="D34" s="8">
        <f>C34/2</f>
        <v>418</v>
      </c>
      <c r="E34" s="64">
        <f aca="true" t="shared" si="7" ref="E34:E47">SUM(B34+D34)</f>
        <v>2508</v>
      </c>
      <c r="F34" s="7">
        <v>344</v>
      </c>
      <c r="G34" s="11">
        <f t="shared" si="3"/>
        <v>7.290697674418604</v>
      </c>
      <c r="H34" s="100">
        <f aca="true" t="shared" si="8" ref="H34:H47">(F34*16.44)+(F34*73%*8.22)</f>
        <v>7719.566400000001</v>
      </c>
      <c r="I34" s="59">
        <f>H34/(B34*1.96+C34*1.36)</f>
        <v>1.4750688658911295</v>
      </c>
    </row>
    <row r="35" spans="1:9" ht="15.75" thickBot="1">
      <c r="A35" s="102" t="s">
        <v>130</v>
      </c>
      <c r="B35" s="20">
        <v>228</v>
      </c>
      <c r="C35" s="20">
        <v>190</v>
      </c>
      <c r="D35" s="8">
        <f t="shared" si="1"/>
        <v>47.5</v>
      </c>
      <c r="E35" s="64">
        <f t="shared" si="7"/>
        <v>275.5</v>
      </c>
      <c r="F35" s="7">
        <v>0</v>
      </c>
      <c r="G35" s="11"/>
      <c r="H35" s="100">
        <f t="shared" si="8"/>
        <v>0</v>
      </c>
      <c r="I35" s="59">
        <f aca="true" t="shared" si="9" ref="I35:I47">H35/(B35*1.96+C35*1.36)</f>
        <v>0</v>
      </c>
    </row>
    <row r="36" spans="1:9" ht="15.75" thickBot="1">
      <c r="A36" s="102" t="s">
        <v>61</v>
      </c>
      <c r="B36" s="20">
        <v>1884</v>
      </c>
      <c r="C36" s="20">
        <v>1330</v>
      </c>
      <c r="D36" s="8">
        <f t="shared" si="1"/>
        <v>332.5</v>
      </c>
      <c r="E36" s="64">
        <f t="shared" si="7"/>
        <v>2216.5</v>
      </c>
      <c r="F36" s="109">
        <v>192.5</v>
      </c>
      <c r="G36" s="11">
        <f t="shared" si="3"/>
        <v>11.514285714285714</v>
      </c>
      <c r="H36" s="100">
        <f t="shared" si="8"/>
        <v>4319.815500000001</v>
      </c>
      <c r="I36" s="59">
        <f t="shared" si="9"/>
        <v>0.7852154163273616</v>
      </c>
    </row>
    <row r="37" spans="1:9" ht="15.75" thickBot="1">
      <c r="A37" s="45" t="s">
        <v>97</v>
      </c>
      <c r="B37" s="20">
        <v>4160</v>
      </c>
      <c r="C37" s="20">
        <v>1995</v>
      </c>
      <c r="D37" s="8">
        <f t="shared" si="1"/>
        <v>498.75</v>
      </c>
      <c r="E37" s="64">
        <f t="shared" si="7"/>
        <v>4658.75</v>
      </c>
      <c r="F37" s="109">
        <v>118.75</v>
      </c>
      <c r="G37" s="11">
        <f t="shared" si="3"/>
        <v>39.23157894736842</v>
      </c>
      <c r="H37" s="100">
        <f t="shared" si="8"/>
        <v>2664.8212500000004</v>
      </c>
      <c r="I37" s="59">
        <f t="shared" si="9"/>
        <v>0.24522594047925797</v>
      </c>
    </row>
    <row r="38" spans="1:9" ht="15.75" thickBot="1">
      <c r="A38" s="102" t="s">
        <v>131</v>
      </c>
      <c r="B38" s="20">
        <v>1532</v>
      </c>
      <c r="C38" s="20">
        <v>879</v>
      </c>
      <c r="D38" s="8">
        <f t="shared" si="1"/>
        <v>219.75</v>
      </c>
      <c r="E38" s="64">
        <f t="shared" si="7"/>
        <v>1751.75</v>
      </c>
      <c r="F38" s="109">
        <v>203.75</v>
      </c>
      <c r="G38" s="11">
        <f t="shared" si="3"/>
        <v>8.59754601226994</v>
      </c>
      <c r="H38" s="100">
        <f t="shared" si="8"/>
        <v>4572.27225</v>
      </c>
      <c r="I38" s="59">
        <f t="shared" si="9"/>
        <v>1.0891133853878843</v>
      </c>
    </row>
    <row r="39" spans="1:9" ht="15.75" thickBot="1">
      <c r="A39" s="102" t="s">
        <v>98</v>
      </c>
      <c r="B39" s="20">
        <v>7225</v>
      </c>
      <c r="C39" s="20">
        <v>6762</v>
      </c>
      <c r="D39" s="8">
        <f t="shared" si="1"/>
        <v>1690.5</v>
      </c>
      <c r="E39" s="64">
        <f t="shared" si="7"/>
        <v>8915.5</v>
      </c>
      <c r="F39" s="7">
        <v>121</v>
      </c>
      <c r="G39" s="11">
        <f t="shared" si="3"/>
        <v>73.68181818181819</v>
      </c>
      <c r="H39" s="100">
        <f t="shared" si="8"/>
        <v>2715.3126</v>
      </c>
      <c r="I39" s="59">
        <f t="shared" si="9"/>
        <v>0.11625103393711265</v>
      </c>
    </row>
    <row r="40" spans="1:9" ht="15.75" thickBot="1">
      <c r="A40" s="101" t="s">
        <v>124</v>
      </c>
      <c r="B40" s="20">
        <v>7465</v>
      </c>
      <c r="C40" s="20">
        <v>7600</v>
      </c>
      <c r="D40" s="8">
        <f t="shared" si="1"/>
        <v>1900</v>
      </c>
      <c r="E40" s="64">
        <f t="shared" si="7"/>
        <v>9365</v>
      </c>
      <c r="F40" s="109">
        <v>443.5</v>
      </c>
      <c r="G40" s="11">
        <f t="shared" si="3"/>
        <v>21.116121758737318</v>
      </c>
      <c r="H40" s="100">
        <f t="shared" si="8"/>
        <v>9952.4061</v>
      </c>
      <c r="I40" s="59">
        <f t="shared" si="9"/>
        <v>0.39861603931526707</v>
      </c>
    </row>
    <row r="41" spans="1:9" ht="15.75" thickBot="1">
      <c r="A41" s="101" t="s">
        <v>93</v>
      </c>
      <c r="B41" s="20">
        <v>6965</v>
      </c>
      <c r="C41" s="20">
        <v>5376</v>
      </c>
      <c r="D41" s="8">
        <f t="shared" si="1"/>
        <v>1344</v>
      </c>
      <c r="E41" s="64">
        <f t="shared" si="7"/>
        <v>8309</v>
      </c>
      <c r="F41" s="109">
        <v>389.5</v>
      </c>
      <c r="G41" s="11">
        <f t="shared" si="3"/>
        <v>21.33247753530167</v>
      </c>
      <c r="H41" s="100">
        <f t="shared" si="8"/>
        <v>8740.6137</v>
      </c>
      <c r="I41" s="59">
        <f t="shared" si="9"/>
        <v>0.41695910748393816</v>
      </c>
    </row>
    <row r="42" spans="1:9" ht="15.75" thickBot="1">
      <c r="A42" s="101" t="s">
        <v>99</v>
      </c>
      <c r="B42" s="20">
        <v>7831</v>
      </c>
      <c r="C42" s="20">
        <v>7310</v>
      </c>
      <c r="D42" s="8">
        <f t="shared" si="1"/>
        <v>1827.5</v>
      </c>
      <c r="E42" s="64">
        <f t="shared" si="7"/>
        <v>9658.5</v>
      </c>
      <c r="F42" s="109">
        <v>447.75</v>
      </c>
      <c r="G42" s="11">
        <f t="shared" si="3"/>
        <v>21.571189279731993</v>
      </c>
      <c r="H42" s="100">
        <f t="shared" si="8"/>
        <v>10047.77865</v>
      </c>
      <c r="I42" s="59">
        <f t="shared" si="9"/>
        <v>0.39729678225220993</v>
      </c>
    </row>
    <row r="43" spans="1:9" ht="15.75" thickBot="1">
      <c r="A43" s="104" t="s">
        <v>100</v>
      </c>
      <c r="B43" s="20">
        <v>7200</v>
      </c>
      <c r="C43" s="20">
        <v>6480</v>
      </c>
      <c r="D43" s="8">
        <f t="shared" si="1"/>
        <v>1620</v>
      </c>
      <c r="E43" s="64">
        <f t="shared" si="7"/>
        <v>8820</v>
      </c>
      <c r="F43" s="109">
        <v>286.75</v>
      </c>
      <c r="G43" s="11">
        <f t="shared" si="3"/>
        <v>30.758500435919792</v>
      </c>
      <c r="H43" s="100">
        <f t="shared" si="8"/>
        <v>6434.84205</v>
      </c>
      <c r="I43" s="59">
        <f t="shared" si="9"/>
        <v>0.2806934869660804</v>
      </c>
    </row>
    <row r="44" spans="1:9" ht="15.75" thickBot="1">
      <c r="A44" s="102" t="s">
        <v>59</v>
      </c>
      <c r="B44" s="20">
        <v>14415</v>
      </c>
      <c r="C44" s="20">
        <v>6460</v>
      </c>
      <c r="D44" s="8">
        <f>C44/2</f>
        <v>3230</v>
      </c>
      <c r="E44" s="64">
        <f t="shared" si="7"/>
        <v>17645</v>
      </c>
      <c r="F44" s="7">
        <v>918</v>
      </c>
      <c r="G44" s="11">
        <f t="shared" si="3"/>
        <v>19.221132897603486</v>
      </c>
      <c r="H44" s="100">
        <f t="shared" si="8"/>
        <v>20600.470800000003</v>
      </c>
      <c r="I44" s="59">
        <f t="shared" si="9"/>
        <v>0.556183233888604</v>
      </c>
    </row>
    <row r="45" spans="1:9" ht="15.75" thickBot="1">
      <c r="A45" s="101" t="s">
        <v>102</v>
      </c>
      <c r="B45" s="20">
        <v>9310</v>
      </c>
      <c r="C45" s="20">
        <v>7410</v>
      </c>
      <c r="D45" s="8">
        <f t="shared" si="1"/>
        <v>1852.5</v>
      </c>
      <c r="E45" s="64">
        <f t="shared" si="7"/>
        <v>11162.5</v>
      </c>
      <c r="F45" s="109">
        <v>523.5</v>
      </c>
      <c r="G45" s="11">
        <f t="shared" si="3"/>
        <v>21.32282712511939</v>
      </c>
      <c r="H45" s="100">
        <f t="shared" si="8"/>
        <v>11747.6541</v>
      </c>
      <c r="I45" s="59">
        <f t="shared" si="9"/>
        <v>0.414742141273495</v>
      </c>
    </row>
    <row r="46" spans="1:9" ht="15">
      <c r="A46" s="101" t="s">
        <v>60</v>
      </c>
      <c r="B46" s="20">
        <v>4750</v>
      </c>
      <c r="C46" s="20">
        <v>1140</v>
      </c>
      <c r="D46" s="8">
        <f t="shared" si="1"/>
        <v>285</v>
      </c>
      <c r="E46" s="64">
        <f t="shared" si="7"/>
        <v>5035</v>
      </c>
      <c r="F46" s="7">
        <v>201</v>
      </c>
      <c r="G46" s="11">
        <f t="shared" si="3"/>
        <v>25.049751243781095</v>
      </c>
      <c r="H46" s="100">
        <f t="shared" si="8"/>
        <v>4510.5606</v>
      </c>
      <c r="I46" s="59">
        <f t="shared" si="9"/>
        <v>0.41532177452027547</v>
      </c>
    </row>
    <row r="47" spans="1:9" ht="15">
      <c r="A47" s="101" t="s">
        <v>58</v>
      </c>
      <c r="B47" s="20">
        <v>3690</v>
      </c>
      <c r="C47" s="20">
        <v>3551</v>
      </c>
      <c r="D47" s="8">
        <f t="shared" si="1"/>
        <v>887.75</v>
      </c>
      <c r="E47" s="64">
        <f t="shared" si="7"/>
        <v>4577.75</v>
      </c>
      <c r="F47" s="7">
        <v>93.5</v>
      </c>
      <c r="G47" s="11">
        <f t="shared" si="3"/>
        <v>48.95989304812834</v>
      </c>
      <c r="H47" s="66">
        <f t="shared" si="8"/>
        <v>2098.1961</v>
      </c>
      <c r="I47" s="59">
        <f t="shared" si="9"/>
        <v>0.17395438974080069</v>
      </c>
    </row>
    <row r="48" spans="2:9" ht="15">
      <c r="B48" s="106">
        <f>SUM(B2:B47)</f>
        <v>276109</v>
      </c>
      <c r="C48" s="106">
        <f>SUM(C2:C47)</f>
        <v>199100</v>
      </c>
      <c r="D48" s="106">
        <f>SUM(D2:D47)</f>
        <v>59265</v>
      </c>
      <c r="E48" s="106">
        <f>SUM(E2:E47)</f>
        <v>335374</v>
      </c>
      <c r="F48" s="107">
        <f>SUM(F2:F47)</f>
        <v>15768.5</v>
      </c>
      <c r="G48" s="110">
        <f>AVERAGE(G2:G47)</f>
        <v>24.35346109793404</v>
      </c>
      <c r="H48" s="111">
        <f>(F48*16.44)+(F48*73%*8.22)</f>
        <v>353854.6011</v>
      </c>
      <c r="I48" s="108">
        <f>AVERAGE(I2:I56)</f>
        <v>0.5165761467009694</v>
      </c>
    </row>
    <row r="49" spans="1:11" ht="15.75" thickBot="1">
      <c r="A49" s="84" t="s">
        <v>49</v>
      </c>
      <c r="B49" s="112">
        <f>B48*1.96</f>
        <v>541173.64</v>
      </c>
      <c r="C49" s="112">
        <f>C48*1.36</f>
        <v>270776</v>
      </c>
      <c r="D49" s="113">
        <f>SUM(B49:C49)</f>
        <v>811949.64</v>
      </c>
      <c r="E49" s="114"/>
      <c r="F49" s="114"/>
      <c r="G49" s="115">
        <f>E48/F48</f>
        <v>21.268605130481657</v>
      </c>
      <c r="H49" s="113"/>
      <c r="I49" s="116">
        <f>H48/(B48*1.96+C48*1.36)</f>
        <v>0.43580855716618094</v>
      </c>
      <c r="J49" s="96"/>
      <c r="K49" s="95"/>
    </row>
    <row r="51" spans="1:9" ht="15">
      <c r="A51" s="101" t="s">
        <v>137</v>
      </c>
      <c r="B51" s="7"/>
      <c r="C51" s="7"/>
      <c r="D51" s="7"/>
      <c r="E51" s="12">
        <v>275742</v>
      </c>
      <c r="F51" s="7">
        <v>2236.25</v>
      </c>
      <c r="G51" s="11">
        <f>E51/F51</f>
        <v>123.3055338177753</v>
      </c>
      <c r="H51" s="60"/>
      <c r="I51" s="59"/>
    </row>
    <row r="52" spans="1:9" ht="18">
      <c r="A52" s="91" t="s">
        <v>50</v>
      </c>
      <c r="B52" s="75"/>
      <c r="C52" s="75"/>
      <c r="D52" s="75"/>
      <c r="E52" s="75"/>
      <c r="F52" s="75"/>
      <c r="G52" s="75"/>
      <c r="H52" s="75"/>
      <c r="I52" s="75"/>
    </row>
    <row r="53" ht="15">
      <c r="A53" s="92" t="s">
        <v>51</v>
      </c>
    </row>
    <row r="54" ht="15">
      <c r="A54" s="93" t="s">
        <v>52</v>
      </c>
    </row>
    <row r="55" ht="15">
      <c r="A55" s="92" t="s">
        <v>53</v>
      </c>
    </row>
    <row r="56" spans="1:3" ht="15">
      <c r="A56" s="92" t="s">
        <v>57</v>
      </c>
      <c r="B56" s="92"/>
      <c r="C56" s="92"/>
    </row>
  </sheetData>
  <printOptions/>
  <pageMargins left="0.2" right="0.2" top="0.5" bottom="0.5" header="0.05" footer="0"/>
  <pageSetup horizontalDpi="600" verticalDpi="600" orientation="landscape"/>
  <headerFooter alignWithMargins="0">
    <oddHeader>&amp;C&amp;14Meals Per Lbor Hour Calculation Work Sheet&amp;"-,Bold"   September   &amp;KFF00002011 -2012  SY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H2" sqref="H2"/>
    </sheetView>
  </sheetViews>
  <sheetFormatPr defaultColWidth="8.57421875" defaultRowHeight="15"/>
  <cols>
    <col min="1" max="1" width="35.57421875" style="0" customWidth="1"/>
    <col min="2" max="2" width="13.140625" style="0" customWidth="1"/>
    <col min="3" max="3" width="12.28125" style="0" customWidth="1"/>
    <col min="4" max="4" width="12.00390625" style="0" customWidth="1"/>
    <col min="5" max="5" width="13.57421875" style="0" customWidth="1"/>
    <col min="6" max="6" width="11.00390625" style="0" customWidth="1"/>
    <col min="7" max="7" width="13.8515625" style="0" customWidth="1"/>
    <col min="8" max="8" width="11.421875" style="0" customWidth="1"/>
    <col min="9" max="9" width="9.00390625" style="0" customWidth="1"/>
  </cols>
  <sheetData>
    <row r="1" spans="1:9" ht="63.75" customHeight="1" thickBot="1">
      <c r="A1" s="68" t="s">
        <v>85</v>
      </c>
      <c r="B1" s="69" t="s">
        <v>87</v>
      </c>
      <c r="C1" s="69" t="s">
        <v>86</v>
      </c>
      <c r="D1" s="69" t="s">
        <v>94</v>
      </c>
      <c r="E1" s="70" t="s">
        <v>54</v>
      </c>
      <c r="F1" s="70" t="s">
        <v>96</v>
      </c>
      <c r="G1" s="71" t="s">
        <v>45</v>
      </c>
      <c r="H1" s="72" t="s">
        <v>48</v>
      </c>
      <c r="I1" s="72" t="s">
        <v>47</v>
      </c>
    </row>
    <row r="2" spans="1:9" ht="15">
      <c r="A2" s="61" t="s">
        <v>104</v>
      </c>
      <c r="B2" s="62">
        <v>9426</v>
      </c>
      <c r="C2" s="62">
        <v>9399</v>
      </c>
      <c r="D2" s="63">
        <f>C2/4</f>
        <v>2349.75</v>
      </c>
      <c r="E2" s="64">
        <f>SUM(B2+D2)</f>
        <v>11775.75</v>
      </c>
      <c r="F2" s="64">
        <v>351</v>
      </c>
      <c r="G2" s="65">
        <f>E2/F2</f>
        <v>33.5491452991453</v>
      </c>
      <c r="H2" s="66">
        <f>(F2*16.44)+(252*8.22)</f>
        <v>7841.880000000001</v>
      </c>
      <c r="I2" s="67">
        <f>H2/(B2*2.04+C2*1.41)</f>
        <v>0.24142507626618495</v>
      </c>
    </row>
    <row r="3" spans="1:9" ht="15">
      <c r="A3" s="5" t="s">
        <v>105</v>
      </c>
      <c r="B3" s="20">
        <v>7374</v>
      </c>
      <c r="C3" s="20">
        <v>6297</v>
      </c>
      <c r="D3" s="8">
        <f aca="true" t="shared" si="0" ref="D3:D46">C3/4</f>
        <v>1574.25</v>
      </c>
      <c r="E3" s="64">
        <f>SUM(B3+D3)</f>
        <v>8948.25</v>
      </c>
      <c r="F3" s="8">
        <v>347</v>
      </c>
      <c r="G3" s="11">
        <f>E3/F3</f>
        <v>25.787463976945244</v>
      </c>
      <c r="H3" s="66">
        <f aca="true" t="shared" si="1" ref="H3:H46">(F3*16.44)+(252*8.22)</f>
        <v>7776.120000000001</v>
      </c>
      <c r="I3" s="67">
        <f aca="true" t="shared" si="2" ref="I3:I32">H3/(B3*2.04+C3*1.41)</f>
        <v>0.3250651186180933</v>
      </c>
    </row>
    <row r="4" spans="1:9" ht="15">
      <c r="A4" s="6" t="s">
        <v>106</v>
      </c>
      <c r="B4" s="20">
        <v>8592</v>
      </c>
      <c r="C4" s="20">
        <v>7332</v>
      </c>
      <c r="D4" s="8">
        <f t="shared" si="0"/>
        <v>1833</v>
      </c>
      <c r="E4" s="64">
        <f>SUM(B4+D4)</f>
        <v>10425</v>
      </c>
      <c r="F4" s="8">
        <v>380</v>
      </c>
      <c r="G4" s="11">
        <f aca="true" t="shared" si="3" ref="G4:G46">E4/F4</f>
        <v>27.43421052631579</v>
      </c>
      <c r="H4" s="66">
        <f t="shared" si="1"/>
        <v>8318.640000000001</v>
      </c>
      <c r="I4" s="67">
        <f t="shared" si="2"/>
        <v>0.29852507374631276</v>
      </c>
    </row>
    <row r="5" spans="1:9" ht="15">
      <c r="A5" s="6" t="s">
        <v>107</v>
      </c>
      <c r="B5" s="20">
        <v>7210</v>
      </c>
      <c r="C5" s="20">
        <v>2488</v>
      </c>
      <c r="D5" s="8">
        <f t="shared" si="0"/>
        <v>622</v>
      </c>
      <c r="E5" s="64">
        <f>SUM(B5+D5)</f>
        <v>7832</v>
      </c>
      <c r="F5" s="8">
        <v>494</v>
      </c>
      <c r="G5" s="11">
        <f t="shared" si="3"/>
        <v>15.854251012145749</v>
      </c>
      <c r="H5" s="66">
        <f t="shared" si="1"/>
        <v>10192.800000000001</v>
      </c>
      <c r="I5" s="67">
        <f t="shared" si="2"/>
        <v>0.5595372980949119</v>
      </c>
    </row>
    <row r="6" spans="1:9" ht="15">
      <c r="A6" s="6" t="s">
        <v>108</v>
      </c>
      <c r="B6" s="20">
        <v>8646</v>
      </c>
      <c r="C6" s="20">
        <v>5901</v>
      </c>
      <c r="D6" s="8">
        <f t="shared" si="0"/>
        <v>1475.25</v>
      </c>
      <c r="E6" s="64">
        <f>SUM(B6+D6)</f>
        <v>10121.25</v>
      </c>
      <c r="F6" s="8">
        <v>342</v>
      </c>
      <c r="G6" s="11">
        <f t="shared" si="3"/>
        <v>29.594298245614034</v>
      </c>
      <c r="H6" s="66">
        <f t="shared" si="1"/>
        <v>7693.92</v>
      </c>
      <c r="I6" s="67">
        <f t="shared" si="2"/>
        <v>0.29639594348617493</v>
      </c>
    </row>
    <row r="7" spans="1:9" ht="15">
      <c r="A7" s="5" t="s">
        <v>109</v>
      </c>
      <c r="B7" s="20">
        <v>7005</v>
      </c>
      <c r="C7" s="20">
        <v>6365</v>
      </c>
      <c r="D7" s="8">
        <f t="shared" si="0"/>
        <v>1591.25</v>
      </c>
      <c r="E7" s="64">
        <f aca="true" t="shared" si="4" ref="E7:E14">SUM(B7+D7)</f>
        <v>8596.25</v>
      </c>
      <c r="F7" s="8">
        <v>461</v>
      </c>
      <c r="G7" s="11">
        <f t="shared" si="3"/>
        <v>18.64696312364425</v>
      </c>
      <c r="H7" s="66">
        <f t="shared" si="1"/>
        <v>9650.28</v>
      </c>
      <c r="I7" s="67">
        <f t="shared" si="2"/>
        <v>0.4148008691223026</v>
      </c>
    </row>
    <row r="8" spans="1:9" ht="15">
      <c r="A8" s="6" t="s">
        <v>91</v>
      </c>
      <c r="B8" s="20">
        <v>8498</v>
      </c>
      <c r="C8" s="20">
        <v>6007</v>
      </c>
      <c r="D8" s="8">
        <f t="shared" si="0"/>
        <v>1501.75</v>
      </c>
      <c r="E8" s="64">
        <f t="shared" si="4"/>
        <v>9999.75</v>
      </c>
      <c r="F8" s="8">
        <v>380</v>
      </c>
      <c r="G8" s="11">
        <f t="shared" si="3"/>
        <v>26.31513157894737</v>
      </c>
      <c r="H8" s="66">
        <f t="shared" si="1"/>
        <v>8318.640000000001</v>
      </c>
      <c r="I8" s="67">
        <f t="shared" si="2"/>
        <v>0.3223555643907821</v>
      </c>
    </row>
    <row r="9" spans="1:9" ht="15">
      <c r="A9" s="5" t="s">
        <v>110</v>
      </c>
      <c r="B9" s="20">
        <v>2860</v>
      </c>
      <c r="C9" s="20">
        <v>2860</v>
      </c>
      <c r="D9" s="8">
        <f t="shared" si="0"/>
        <v>715</v>
      </c>
      <c r="E9" s="64">
        <f t="shared" si="4"/>
        <v>3575</v>
      </c>
      <c r="F9" s="8">
        <v>152</v>
      </c>
      <c r="G9" s="11">
        <f t="shared" si="3"/>
        <v>23.519736842105264</v>
      </c>
      <c r="H9" s="66">
        <f t="shared" si="1"/>
        <v>4570.32</v>
      </c>
      <c r="I9" s="67">
        <f t="shared" si="2"/>
        <v>0.4631924597141988</v>
      </c>
    </row>
    <row r="10" spans="1:9" ht="15">
      <c r="A10" s="6" t="s">
        <v>111</v>
      </c>
      <c r="B10" s="20">
        <v>7778</v>
      </c>
      <c r="C10" s="20">
        <v>6114</v>
      </c>
      <c r="D10" s="8">
        <f t="shared" si="0"/>
        <v>1528.5</v>
      </c>
      <c r="E10" s="64">
        <f t="shared" si="4"/>
        <v>9306.5</v>
      </c>
      <c r="F10" s="8">
        <v>409</v>
      </c>
      <c r="G10" s="11">
        <f t="shared" si="3"/>
        <v>22.75427872860636</v>
      </c>
      <c r="H10" s="66">
        <f t="shared" si="1"/>
        <v>8795.400000000001</v>
      </c>
      <c r="I10" s="67">
        <f t="shared" si="2"/>
        <v>0.3591738926962177</v>
      </c>
    </row>
    <row r="11" spans="1:9" ht="15">
      <c r="A11" s="5" t="s">
        <v>90</v>
      </c>
      <c r="B11" s="20">
        <v>9688</v>
      </c>
      <c r="C11" s="20">
        <v>6920</v>
      </c>
      <c r="D11" s="8">
        <f t="shared" si="0"/>
        <v>1730</v>
      </c>
      <c r="E11" s="64">
        <f t="shared" si="4"/>
        <v>11418</v>
      </c>
      <c r="F11" s="8">
        <v>352</v>
      </c>
      <c r="G11" s="11">
        <f t="shared" si="3"/>
        <v>32.4375</v>
      </c>
      <c r="H11" s="66">
        <f t="shared" si="1"/>
        <v>7858.32</v>
      </c>
      <c r="I11" s="67">
        <f t="shared" si="2"/>
        <v>0.2661967594286318</v>
      </c>
    </row>
    <row r="12" spans="1:9" ht="15">
      <c r="A12" s="5" t="s">
        <v>112</v>
      </c>
      <c r="B12" s="20">
        <v>10367</v>
      </c>
      <c r="C12" s="20">
        <v>8022</v>
      </c>
      <c r="D12" s="8">
        <f t="shared" si="0"/>
        <v>2005.5</v>
      </c>
      <c r="E12" s="64">
        <f t="shared" si="4"/>
        <v>12372.5</v>
      </c>
      <c r="F12" s="8">
        <v>404</v>
      </c>
      <c r="G12" s="11">
        <f t="shared" si="3"/>
        <v>30.625</v>
      </c>
      <c r="H12" s="66">
        <f t="shared" si="1"/>
        <v>8713.2</v>
      </c>
      <c r="I12" s="67">
        <f t="shared" si="2"/>
        <v>0.26843131637076134</v>
      </c>
    </row>
    <row r="13" spans="1:9" ht="15">
      <c r="A13" s="6" t="s">
        <v>136</v>
      </c>
      <c r="B13" s="20">
        <v>8964</v>
      </c>
      <c r="C13" s="20">
        <v>1431</v>
      </c>
      <c r="D13" s="8">
        <f>C13/2</f>
        <v>715.5</v>
      </c>
      <c r="E13" s="64">
        <f t="shared" si="4"/>
        <v>9679.5</v>
      </c>
      <c r="F13" s="8">
        <v>589</v>
      </c>
      <c r="G13" s="11">
        <f t="shared" si="3"/>
        <v>16.43378607809847</v>
      </c>
      <c r="H13" s="66">
        <f t="shared" si="1"/>
        <v>11754.6</v>
      </c>
      <c r="I13" s="67">
        <f t="shared" si="2"/>
        <v>0.578922561608962</v>
      </c>
    </row>
    <row r="14" spans="1:9" ht="15">
      <c r="A14" s="5" t="s">
        <v>113</v>
      </c>
      <c r="B14" s="20">
        <v>7863</v>
      </c>
      <c r="C14" s="20">
        <v>4313</v>
      </c>
      <c r="D14" s="8">
        <f t="shared" si="0"/>
        <v>1078.25</v>
      </c>
      <c r="E14" s="64">
        <f t="shared" si="4"/>
        <v>8941.25</v>
      </c>
      <c r="F14" s="8">
        <v>356</v>
      </c>
      <c r="G14" s="11">
        <f t="shared" si="3"/>
        <v>25.115870786516854</v>
      </c>
      <c r="H14" s="66">
        <f t="shared" si="1"/>
        <v>7924.08</v>
      </c>
      <c r="I14" s="67">
        <f t="shared" si="2"/>
        <v>0.35820150665518485</v>
      </c>
    </row>
    <row r="15" spans="1:9" ht="15">
      <c r="A15" s="6" t="s">
        <v>114</v>
      </c>
      <c r="B15" s="20"/>
      <c r="C15" s="20"/>
      <c r="D15" s="8">
        <f t="shared" si="0"/>
        <v>0</v>
      </c>
      <c r="E15" s="64">
        <f>SUM(B15+D15)</f>
        <v>0</v>
      </c>
      <c r="F15" s="8">
        <v>0</v>
      </c>
      <c r="G15" s="11"/>
      <c r="H15" s="66">
        <v>0</v>
      </c>
      <c r="I15" s="67"/>
    </row>
    <row r="16" spans="1:9" ht="15">
      <c r="A16" s="5" t="s">
        <v>115</v>
      </c>
      <c r="B16" s="20">
        <v>6961</v>
      </c>
      <c r="C16" s="20">
        <v>5377</v>
      </c>
      <c r="D16" s="8">
        <f t="shared" si="0"/>
        <v>1344.25</v>
      </c>
      <c r="E16" s="64">
        <f aca="true" t="shared" si="5" ref="E16:E32">SUM(B16+D16)</f>
        <v>8305.25</v>
      </c>
      <c r="F16" s="8">
        <v>456</v>
      </c>
      <c r="G16" s="11">
        <f t="shared" si="3"/>
        <v>18.21326754385965</v>
      </c>
      <c r="H16" s="66">
        <f t="shared" si="1"/>
        <v>9568.08</v>
      </c>
      <c r="I16" s="67">
        <f t="shared" si="2"/>
        <v>0.4392652468711565</v>
      </c>
    </row>
    <row r="17" spans="1:9" ht="15">
      <c r="A17" s="5" t="s">
        <v>116</v>
      </c>
      <c r="B17" s="20">
        <v>7351</v>
      </c>
      <c r="C17" s="20">
        <v>3820</v>
      </c>
      <c r="D17" s="8">
        <f t="shared" si="0"/>
        <v>955</v>
      </c>
      <c r="E17" s="64">
        <f t="shared" si="5"/>
        <v>8306</v>
      </c>
      <c r="F17" s="8">
        <v>295</v>
      </c>
      <c r="G17" s="11">
        <f t="shared" si="3"/>
        <v>28.15593220338983</v>
      </c>
      <c r="H17" s="66">
        <f t="shared" si="1"/>
        <v>6921.24</v>
      </c>
      <c r="I17" s="67">
        <f t="shared" si="2"/>
        <v>0.339572098061842</v>
      </c>
    </row>
    <row r="18" spans="1:9" ht="15">
      <c r="A18" s="5" t="s">
        <v>125</v>
      </c>
      <c r="B18" s="20">
        <v>11859</v>
      </c>
      <c r="C18" s="20">
        <v>9891</v>
      </c>
      <c r="D18" s="8">
        <f>C18/2</f>
        <v>4945.5</v>
      </c>
      <c r="E18" s="64">
        <f t="shared" si="5"/>
        <v>16804.5</v>
      </c>
      <c r="F18" s="8">
        <v>684</v>
      </c>
      <c r="G18" s="11">
        <f t="shared" si="3"/>
        <v>24.56798245614035</v>
      </c>
      <c r="H18" s="66">
        <f t="shared" si="1"/>
        <v>13316.400000000001</v>
      </c>
      <c r="I18" s="67">
        <f t="shared" si="2"/>
        <v>0.34915742997854937</v>
      </c>
    </row>
    <row r="19" spans="1:9" ht="15">
      <c r="A19" s="5" t="s">
        <v>117</v>
      </c>
      <c r="B19" s="20">
        <v>3945</v>
      </c>
      <c r="C19" s="20">
        <v>3886</v>
      </c>
      <c r="D19" s="8">
        <f t="shared" si="0"/>
        <v>971.5</v>
      </c>
      <c r="E19" s="64">
        <f t="shared" si="5"/>
        <v>4916.5</v>
      </c>
      <c r="F19" s="8">
        <v>323</v>
      </c>
      <c r="G19" s="11">
        <f t="shared" si="3"/>
        <v>15.221362229102168</v>
      </c>
      <c r="H19" s="66">
        <f t="shared" si="1"/>
        <v>7381.560000000001</v>
      </c>
      <c r="I19" s="67">
        <f t="shared" si="2"/>
        <v>0.545688420100155</v>
      </c>
    </row>
    <row r="20" spans="1:9" ht="15">
      <c r="A20" s="6" t="s">
        <v>132</v>
      </c>
      <c r="B20" s="20">
        <v>2744</v>
      </c>
      <c r="C20" s="20">
        <v>890</v>
      </c>
      <c r="D20" s="8">
        <f>C20/2</f>
        <v>445</v>
      </c>
      <c r="E20" s="64">
        <f t="shared" si="5"/>
        <v>3189</v>
      </c>
      <c r="F20" s="8">
        <v>298</v>
      </c>
      <c r="G20" s="11">
        <f t="shared" si="3"/>
        <v>10.701342281879194</v>
      </c>
      <c r="H20" s="66">
        <f t="shared" si="1"/>
        <v>6970.560000000001</v>
      </c>
      <c r="I20" s="67">
        <f t="shared" si="2"/>
        <v>1.0172049977672906</v>
      </c>
    </row>
    <row r="21" spans="1:9" ht="15">
      <c r="A21" s="6" t="s">
        <v>118</v>
      </c>
      <c r="B21" s="20">
        <v>6564</v>
      </c>
      <c r="C21" s="20">
        <v>6563</v>
      </c>
      <c r="D21" s="8">
        <f t="shared" si="0"/>
        <v>1640.75</v>
      </c>
      <c r="E21" s="64">
        <f t="shared" si="5"/>
        <v>8204.75</v>
      </c>
      <c r="F21" s="8">
        <v>181</v>
      </c>
      <c r="G21" s="11">
        <f t="shared" si="3"/>
        <v>45.33011049723757</v>
      </c>
      <c r="H21" s="66">
        <f t="shared" si="1"/>
        <v>5047.08</v>
      </c>
      <c r="I21" s="67">
        <f t="shared" si="2"/>
        <v>0.2228843435393932</v>
      </c>
    </row>
    <row r="22" spans="1:9" ht="15">
      <c r="A22" s="6" t="s">
        <v>133</v>
      </c>
      <c r="B22" s="20">
        <v>8679</v>
      </c>
      <c r="C22" s="20">
        <v>959</v>
      </c>
      <c r="D22" s="8">
        <f>C22/2</f>
        <v>479.5</v>
      </c>
      <c r="E22" s="64">
        <f t="shared" si="5"/>
        <v>9158.5</v>
      </c>
      <c r="F22" s="8">
        <v>751</v>
      </c>
      <c r="G22" s="11">
        <f t="shared" si="3"/>
        <v>12.195073235685753</v>
      </c>
      <c r="H22" s="66">
        <f t="shared" si="1"/>
        <v>14417.880000000001</v>
      </c>
      <c r="I22" s="67">
        <f t="shared" si="2"/>
        <v>0.7565521963966659</v>
      </c>
    </row>
    <row r="23" spans="1:9" ht="15">
      <c r="A23" s="6" t="s">
        <v>134</v>
      </c>
      <c r="B23" s="20">
        <v>2203</v>
      </c>
      <c r="C23" s="20">
        <v>823</v>
      </c>
      <c r="D23" s="8">
        <f t="shared" si="0"/>
        <v>205.75</v>
      </c>
      <c r="E23" s="64">
        <f t="shared" si="5"/>
        <v>2408.75</v>
      </c>
      <c r="F23" s="8">
        <v>152</v>
      </c>
      <c r="G23" s="11">
        <f t="shared" si="3"/>
        <v>15.84703947368421</v>
      </c>
      <c r="H23" s="66">
        <f t="shared" si="1"/>
        <v>4570.32</v>
      </c>
      <c r="I23" s="67">
        <f t="shared" si="2"/>
        <v>0.8082552988301457</v>
      </c>
    </row>
    <row r="24" spans="1:9" ht="15">
      <c r="A24" s="6" t="s">
        <v>126</v>
      </c>
      <c r="B24" s="20">
        <v>13052</v>
      </c>
      <c r="C24" s="20">
        <v>3794</v>
      </c>
      <c r="D24" s="8">
        <f>C24/2</f>
        <v>1897</v>
      </c>
      <c r="E24" s="64">
        <f t="shared" si="5"/>
        <v>14949</v>
      </c>
      <c r="F24" s="8">
        <v>893</v>
      </c>
      <c r="G24" s="11">
        <f t="shared" si="3"/>
        <v>16.74020156774916</v>
      </c>
      <c r="H24" s="66">
        <f t="shared" si="1"/>
        <v>16752.36</v>
      </c>
      <c r="I24" s="67">
        <f t="shared" si="2"/>
        <v>0.5239104042392297</v>
      </c>
    </row>
    <row r="25" spans="1:9" ht="15">
      <c r="A25" s="6" t="s">
        <v>119</v>
      </c>
      <c r="B25" s="20">
        <v>9123</v>
      </c>
      <c r="C25" s="20">
        <v>8792</v>
      </c>
      <c r="D25" s="8">
        <f t="shared" si="0"/>
        <v>2198</v>
      </c>
      <c r="E25" s="64">
        <f t="shared" si="5"/>
        <v>11321</v>
      </c>
      <c r="F25" s="8">
        <v>347</v>
      </c>
      <c r="G25" s="11">
        <f t="shared" si="3"/>
        <v>32.62536023054755</v>
      </c>
      <c r="H25" s="66">
        <f t="shared" si="1"/>
        <v>7776.120000000001</v>
      </c>
      <c r="I25" s="67">
        <f t="shared" si="2"/>
        <v>0.25078077531859894</v>
      </c>
    </row>
    <row r="26" spans="1:9" ht="15">
      <c r="A26" s="6" t="s">
        <v>120</v>
      </c>
      <c r="B26" s="20">
        <v>8676</v>
      </c>
      <c r="C26" s="20">
        <v>4522</v>
      </c>
      <c r="D26" s="8">
        <f t="shared" si="0"/>
        <v>1130.5</v>
      </c>
      <c r="E26" s="64">
        <f t="shared" si="5"/>
        <v>9806.5</v>
      </c>
      <c r="F26" s="8">
        <v>352</v>
      </c>
      <c r="G26" s="11">
        <f t="shared" si="3"/>
        <v>27.859375</v>
      </c>
      <c r="H26" s="66">
        <f t="shared" si="1"/>
        <v>7858.32</v>
      </c>
      <c r="I26" s="67">
        <f t="shared" si="2"/>
        <v>0.32640915536659093</v>
      </c>
    </row>
    <row r="27" spans="1:9" ht="15">
      <c r="A27" s="9" t="s">
        <v>121</v>
      </c>
      <c r="B27" s="20">
        <v>2871</v>
      </c>
      <c r="C27" s="20">
        <v>2614</v>
      </c>
      <c r="D27" s="8">
        <f t="shared" si="0"/>
        <v>653.5</v>
      </c>
      <c r="E27" s="64">
        <f t="shared" si="5"/>
        <v>3524.5</v>
      </c>
      <c r="F27" s="8">
        <v>228</v>
      </c>
      <c r="G27" s="11">
        <f t="shared" si="3"/>
        <v>15.458333333333334</v>
      </c>
      <c r="H27" s="66">
        <f t="shared" si="1"/>
        <v>5819.76</v>
      </c>
      <c r="I27" s="67">
        <f t="shared" si="2"/>
        <v>0.6098728016951391</v>
      </c>
    </row>
    <row r="28" spans="1:9" ht="15">
      <c r="A28" s="6" t="s">
        <v>127</v>
      </c>
      <c r="B28" s="20">
        <v>9396</v>
      </c>
      <c r="C28" s="20">
        <v>8593</v>
      </c>
      <c r="D28" s="8">
        <f>C28/2</f>
        <v>4296.5</v>
      </c>
      <c r="E28" s="64">
        <f t="shared" si="5"/>
        <v>13692.5</v>
      </c>
      <c r="F28" s="8">
        <v>523</v>
      </c>
      <c r="G28" s="11">
        <f t="shared" si="3"/>
        <v>26.180688336520078</v>
      </c>
      <c r="H28" s="66">
        <f t="shared" si="1"/>
        <v>10669.560000000001</v>
      </c>
      <c r="I28" s="67">
        <f t="shared" si="2"/>
        <v>0.34105517937780916</v>
      </c>
    </row>
    <row r="29" spans="1:9" ht="15">
      <c r="A29" s="6" t="s">
        <v>92</v>
      </c>
      <c r="B29" s="20">
        <v>6049</v>
      </c>
      <c r="C29" s="20">
        <v>5529</v>
      </c>
      <c r="D29" s="8">
        <f t="shared" si="0"/>
        <v>1382.25</v>
      </c>
      <c r="E29" s="64">
        <f t="shared" si="5"/>
        <v>7431.25</v>
      </c>
      <c r="F29" s="8">
        <v>338</v>
      </c>
      <c r="G29" s="11">
        <f t="shared" si="3"/>
        <v>21.98594674556213</v>
      </c>
      <c r="H29" s="66">
        <f t="shared" si="1"/>
        <v>7628.16</v>
      </c>
      <c r="I29" s="67">
        <f t="shared" si="2"/>
        <v>0.3788347648596906</v>
      </c>
    </row>
    <row r="30" spans="1:9" ht="15">
      <c r="A30" s="6" t="s">
        <v>135</v>
      </c>
      <c r="B30" s="20">
        <v>4340</v>
      </c>
      <c r="C30" s="20">
        <v>1303</v>
      </c>
      <c r="D30" s="8">
        <f>C30/2</f>
        <v>651.5</v>
      </c>
      <c r="E30" s="64">
        <f t="shared" si="5"/>
        <v>4991.5</v>
      </c>
      <c r="F30" s="8">
        <v>589</v>
      </c>
      <c r="G30" s="11">
        <f t="shared" si="3"/>
        <v>8.474533106960951</v>
      </c>
      <c r="H30" s="66">
        <f t="shared" si="1"/>
        <v>11754.6</v>
      </c>
      <c r="I30" s="67">
        <f t="shared" si="2"/>
        <v>1.099503032037737</v>
      </c>
    </row>
    <row r="31" spans="1:9" ht="15">
      <c r="A31" s="6" t="s">
        <v>122</v>
      </c>
      <c r="B31" s="20">
        <v>4003</v>
      </c>
      <c r="C31" s="20">
        <v>3535</v>
      </c>
      <c r="D31" s="8">
        <f t="shared" si="0"/>
        <v>883.75</v>
      </c>
      <c r="E31" s="64">
        <f t="shared" si="5"/>
        <v>4886.75</v>
      </c>
      <c r="F31" s="8">
        <v>166</v>
      </c>
      <c r="G31" s="11">
        <f t="shared" si="3"/>
        <v>29.438253012048193</v>
      </c>
      <c r="H31" s="66">
        <f t="shared" si="1"/>
        <v>4800.4800000000005</v>
      </c>
      <c r="I31" s="67">
        <f t="shared" si="2"/>
        <v>0.3650424661628064</v>
      </c>
    </row>
    <row r="32" spans="1:9" ht="15">
      <c r="A32" s="6" t="s">
        <v>128</v>
      </c>
      <c r="B32" s="20">
        <v>9019</v>
      </c>
      <c r="C32" s="20">
        <v>6044</v>
      </c>
      <c r="D32" s="8">
        <f>C32/2</f>
        <v>3022</v>
      </c>
      <c r="E32" s="64">
        <f t="shared" si="5"/>
        <v>12041</v>
      </c>
      <c r="F32" s="8">
        <v>528</v>
      </c>
      <c r="G32" s="11">
        <f t="shared" si="3"/>
        <v>22.804924242424242</v>
      </c>
      <c r="H32" s="66">
        <f t="shared" si="1"/>
        <v>10751.760000000002</v>
      </c>
      <c r="I32" s="67">
        <f t="shared" si="2"/>
        <v>0.3993848622626371</v>
      </c>
    </row>
    <row r="33" spans="1:9" ht="68.25" customHeight="1" thickBot="1">
      <c r="A33" s="2" t="s">
        <v>85</v>
      </c>
      <c r="B33" s="73" t="s">
        <v>87</v>
      </c>
      <c r="C33" s="73" t="s">
        <v>86</v>
      </c>
      <c r="D33" s="74" t="s">
        <v>140</v>
      </c>
      <c r="E33" s="94" t="s">
        <v>54</v>
      </c>
      <c r="F33" s="74" t="s">
        <v>55</v>
      </c>
      <c r="G33" s="97" t="s">
        <v>46</v>
      </c>
      <c r="H33" s="72" t="s">
        <v>48</v>
      </c>
      <c r="I33" s="58" t="s">
        <v>47</v>
      </c>
    </row>
    <row r="34" spans="1:9" ht="15">
      <c r="A34" s="6" t="s">
        <v>129</v>
      </c>
      <c r="B34" s="20">
        <v>2297</v>
      </c>
      <c r="C34" s="20">
        <v>649</v>
      </c>
      <c r="D34" s="8">
        <f>C34/2</f>
        <v>324.5</v>
      </c>
      <c r="E34" s="64">
        <f aca="true" t="shared" si="6" ref="E34:E46">SUM(B34+D34)</f>
        <v>2621.5</v>
      </c>
      <c r="F34" s="7">
        <v>409</v>
      </c>
      <c r="G34" s="11">
        <f t="shared" si="3"/>
        <v>6.409535452322738</v>
      </c>
      <c r="H34" s="66">
        <f t="shared" si="1"/>
        <v>8795.400000000001</v>
      </c>
      <c r="I34" s="59">
        <f aca="true" t="shared" si="7" ref="I34:I46">H34/(B34*2.04+C34*1.41)</f>
        <v>1.5703351383778168</v>
      </c>
    </row>
    <row r="35" spans="1:9" ht="15">
      <c r="A35" s="6" t="s">
        <v>130</v>
      </c>
      <c r="B35" s="20">
        <v>218</v>
      </c>
      <c r="C35" s="20">
        <v>216</v>
      </c>
      <c r="D35" s="8">
        <f t="shared" si="0"/>
        <v>54</v>
      </c>
      <c r="E35" s="64">
        <f t="shared" si="6"/>
        <v>272</v>
      </c>
      <c r="F35" s="7">
        <v>57</v>
      </c>
      <c r="G35" s="11">
        <f t="shared" si="3"/>
        <v>4.771929824561403</v>
      </c>
      <c r="H35" s="66">
        <f t="shared" si="1"/>
        <v>3008.52</v>
      </c>
      <c r="I35" s="59">
        <f t="shared" si="7"/>
        <v>4.015214606021781</v>
      </c>
    </row>
    <row r="36" spans="1:9" ht="15">
      <c r="A36" s="6" t="s">
        <v>123</v>
      </c>
      <c r="B36" s="20">
        <v>1770</v>
      </c>
      <c r="C36" s="20">
        <v>561</v>
      </c>
      <c r="D36" s="8">
        <f t="shared" si="0"/>
        <v>140.25</v>
      </c>
      <c r="E36" s="64">
        <f t="shared" si="6"/>
        <v>1910.25</v>
      </c>
      <c r="F36" s="7">
        <v>190</v>
      </c>
      <c r="G36" s="11">
        <f t="shared" si="3"/>
        <v>10.053947368421053</v>
      </c>
      <c r="H36" s="66">
        <f t="shared" si="1"/>
        <v>5195.040000000001</v>
      </c>
      <c r="I36" s="59">
        <f t="shared" si="7"/>
        <v>1.1802054154995332</v>
      </c>
    </row>
    <row r="37" spans="1:9" ht="15">
      <c r="A37" s="9" t="s">
        <v>97</v>
      </c>
      <c r="B37" s="20">
        <v>4681</v>
      </c>
      <c r="C37" s="20">
        <v>2068</v>
      </c>
      <c r="D37" s="8">
        <f t="shared" si="0"/>
        <v>517</v>
      </c>
      <c r="E37" s="64">
        <f t="shared" si="6"/>
        <v>5198</v>
      </c>
      <c r="F37" s="7">
        <v>167</v>
      </c>
      <c r="G37" s="11">
        <f t="shared" si="3"/>
        <v>31.12574850299401</v>
      </c>
      <c r="H37" s="66">
        <f t="shared" si="1"/>
        <v>4816.92</v>
      </c>
      <c r="I37" s="59">
        <f t="shared" si="7"/>
        <v>0.38643189957256735</v>
      </c>
    </row>
    <row r="38" spans="1:9" ht="15">
      <c r="A38" s="6" t="s">
        <v>131</v>
      </c>
      <c r="B38" s="20">
        <v>2877</v>
      </c>
      <c r="C38" s="20">
        <v>410</v>
      </c>
      <c r="D38" s="8">
        <f t="shared" si="0"/>
        <v>102.5</v>
      </c>
      <c r="E38" s="64">
        <f t="shared" si="6"/>
        <v>2979.5</v>
      </c>
      <c r="F38" s="7">
        <v>279</v>
      </c>
      <c r="G38" s="11">
        <f t="shared" si="3"/>
        <v>10.67921146953405</v>
      </c>
      <c r="H38" s="66">
        <f t="shared" si="1"/>
        <v>6658.200000000001</v>
      </c>
      <c r="I38" s="59">
        <f t="shared" si="7"/>
        <v>1.0327305891878311</v>
      </c>
    </row>
    <row r="39" spans="1:9" ht="15">
      <c r="A39" s="6" t="s">
        <v>98</v>
      </c>
      <c r="B39" s="20">
        <v>6929</v>
      </c>
      <c r="C39" s="20">
        <v>6746</v>
      </c>
      <c r="D39" s="8">
        <f t="shared" si="0"/>
        <v>1686.5</v>
      </c>
      <c r="E39" s="64">
        <f t="shared" si="6"/>
        <v>8615.5</v>
      </c>
      <c r="F39" s="7">
        <v>152</v>
      </c>
      <c r="G39" s="11">
        <f t="shared" si="3"/>
        <v>56.68092105263158</v>
      </c>
      <c r="H39" s="66">
        <f t="shared" si="1"/>
        <v>4570.32</v>
      </c>
      <c r="I39" s="59">
        <f t="shared" si="7"/>
        <v>0.193272556119122</v>
      </c>
    </row>
    <row r="40" spans="1:9" ht="15">
      <c r="A40" s="5" t="s">
        <v>124</v>
      </c>
      <c r="B40" s="20">
        <v>8869</v>
      </c>
      <c r="C40" s="20">
        <v>8260</v>
      </c>
      <c r="D40" s="8">
        <f t="shared" si="0"/>
        <v>2065</v>
      </c>
      <c r="E40" s="64">
        <f t="shared" si="6"/>
        <v>10934</v>
      </c>
      <c r="F40" s="7">
        <v>504</v>
      </c>
      <c r="G40" s="11">
        <f t="shared" si="3"/>
        <v>21.694444444444443</v>
      </c>
      <c r="H40" s="66">
        <f t="shared" si="1"/>
        <v>10357.2</v>
      </c>
      <c r="I40" s="59">
        <f t="shared" si="7"/>
        <v>0.34826573268557226</v>
      </c>
    </row>
    <row r="41" spans="1:9" ht="15">
      <c r="A41" s="5" t="s">
        <v>93</v>
      </c>
      <c r="B41" s="20">
        <v>8849</v>
      </c>
      <c r="C41" s="20">
        <v>7014</v>
      </c>
      <c r="D41" s="8">
        <f t="shared" si="0"/>
        <v>1753.5</v>
      </c>
      <c r="E41" s="64">
        <f t="shared" si="6"/>
        <v>10602.5</v>
      </c>
      <c r="F41" s="7">
        <v>452</v>
      </c>
      <c r="G41" s="11">
        <f t="shared" si="3"/>
        <v>23.456858407079647</v>
      </c>
      <c r="H41" s="66">
        <f t="shared" si="1"/>
        <v>9502.320000000002</v>
      </c>
      <c r="I41" s="59">
        <f t="shared" si="7"/>
        <v>0.34007665961627254</v>
      </c>
    </row>
    <row r="42" spans="1:9" ht="15">
      <c r="A42" s="5" t="s">
        <v>99</v>
      </c>
      <c r="B42" s="20">
        <v>8633</v>
      </c>
      <c r="C42" s="20">
        <v>6846</v>
      </c>
      <c r="D42" s="8">
        <f t="shared" si="0"/>
        <v>1711.5</v>
      </c>
      <c r="E42" s="64">
        <f t="shared" si="6"/>
        <v>10344.5</v>
      </c>
      <c r="F42" s="7">
        <v>442</v>
      </c>
      <c r="G42" s="11">
        <f t="shared" si="3"/>
        <v>23.403846153846153</v>
      </c>
      <c r="H42" s="66">
        <f t="shared" si="1"/>
        <v>9337.92</v>
      </c>
      <c r="I42" s="59">
        <f t="shared" si="7"/>
        <v>0.3424977387913372</v>
      </c>
    </row>
    <row r="43" spans="1:9" ht="15">
      <c r="A43" s="10" t="s">
        <v>100</v>
      </c>
      <c r="B43" s="20">
        <v>6650</v>
      </c>
      <c r="C43" s="20">
        <v>3899</v>
      </c>
      <c r="D43" s="8">
        <f t="shared" si="0"/>
        <v>974.75</v>
      </c>
      <c r="E43" s="64">
        <f t="shared" si="6"/>
        <v>7624.75</v>
      </c>
      <c r="F43" s="7">
        <v>390</v>
      </c>
      <c r="G43" s="11">
        <f t="shared" si="3"/>
        <v>19.550641025641024</v>
      </c>
      <c r="H43" s="66">
        <f t="shared" si="1"/>
        <v>8483.04</v>
      </c>
      <c r="I43" s="59">
        <f t="shared" si="7"/>
        <v>0.44498648995283685</v>
      </c>
    </row>
    <row r="44" spans="1:9" ht="15">
      <c r="A44" s="6" t="s">
        <v>56</v>
      </c>
      <c r="B44" s="20">
        <v>16625</v>
      </c>
      <c r="C44" s="20">
        <v>10898</v>
      </c>
      <c r="D44" s="8">
        <f>C44/2</f>
        <v>5449</v>
      </c>
      <c r="E44" s="64">
        <f t="shared" si="6"/>
        <v>22074</v>
      </c>
      <c r="F44" s="7">
        <v>996</v>
      </c>
      <c r="G44" s="11">
        <f t="shared" si="3"/>
        <v>22.162650602409638</v>
      </c>
      <c r="H44" s="66">
        <f t="shared" si="1"/>
        <v>18445.68</v>
      </c>
      <c r="I44" s="59">
        <f t="shared" si="7"/>
        <v>0.37429460901707307</v>
      </c>
    </row>
    <row r="45" spans="1:9" ht="15">
      <c r="A45" s="5" t="s">
        <v>102</v>
      </c>
      <c r="B45" s="20">
        <v>9586</v>
      </c>
      <c r="C45" s="20">
        <v>7215</v>
      </c>
      <c r="D45" s="8">
        <f t="shared" si="0"/>
        <v>1803.75</v>
      </c>
      <c r="E45" s="64">
        <f t="shared" si="6"/>
        <v>11389.75</v>
      </c>
      <c r="F45" s="7">
        <v>523</v>
      </c>
      <c r="G45" s="11">
        <f t="shared" si="3"/>
        <v>21.77772466539197</v>
      </c>
      <c r="H45" s="66">
        <f t="shared" si="1"/>
        <v>10669.560000000001</v>
      </c>
      <c r="I45" s="59">
        <f t="shared" si="7"/>
        <v>0.3588989588809965</v>
      </c>
    </row>
    <row r="46" spans="1:9" ht="15">
      <c r="A46" s="5" t="s">
        <v>103</v>
      </c>
      <c r="B46" s="20">
        <v>4587</v>
      </c>
      <c r="C46" s="20">
        <v>1321</v>
      </c>
      <c r="D46" s="8">
        <f t="shared" si="0"/>
        <v>330.25</v>
      </c>
      <c r="E46" s="64">
        <f t="shared" si="6"/>
        <v>4917.25</v>
      </c>
      <c r="F46" s="7">
        <v>133</v>
      </c>
      <c r="G46" s="11">
        <f t="shared" si="3"/>
        <v>36.971804511278194</v>
      </c>
      <c r="H46" s="66">
        <f t="shared" si="1"/>
        <v>4257.96</v>
      </c>
      <c r="I46" s="59">
        <f t="shared" si="7"/>
        <v>0.3794942821314268</v>
      </c>
    </row>
    <row r="47" spans="1:9" ht="15">
      <c r="A47" s="5" t="s">
        <v>137</v>
      </c>
      <c r="B47" s="7"/>
      <c r="C47" s="7"/>
      <c r="D47" s="7"/>
      <c r="E47" s="7"/>
      <c r="F47" s="7"/>
      <c r="G47" s="11"/>
      <c r="H47" s="60"/>
      <c r="I47" s="59"/>
    </row>
    <row r="48" spans="1:9" ht="15">
      <c r="A48" s="79"/>
      <c r="B48" s="80"/>
      <c r="C48" s="80"/>
      <c r="D48" s="80"/>
      <c r="E48" s="80"/>
      <c r="F48" s="80"/>
      <c r="G48" s="81"/>
      <c r="H48" s="82"/>
      <c r="I48" s="83"/>
    </row>
    <row r="49" spans="1:9" ht="15.75" thickBot="1">
      <c r="A49" s="84" t="s">
        <v>49</v>
      </c>
      <c r="B49" s="85">
        <f>SUM(B2:B48)</f>
        <v>303677</v>
      </c>
      <c r="C49" s="85">
        <f>SUM(C2:C48)</f>
        <v>206487</v>
      </c>
      <c r="D49" s="86">
        <f>SUM(D2:D48)</f>
        <v>62734.75</v>
      </c>
      <c r="E49" s="86">
        <f>SUM(E2:E48)</f>
        <v>366411.75</v>
      </c>
      <c r="F49" s="87">
        <f>SUM(F2:F48)</f>
        <v>16815</v>
      </c>
      <c r="G49" s="88">
        <f>AVERAGE(G2:G48)</f>
        <v>22.99085174825035</v>
      </c>
      <c r="H49" s="89">
        <f>SUM(H2:H48)</f>
        <v>365510.52</v>
      </c>
      <c r="I49" s="90">
        <f>AVERAGE(I2:I48)</f>
        <v>0.5695884090446122</v>
      </c>
    </row>
    <row r="50" spans="1:11" ht="15">
      <c r="A50" s="76"/>
      <c r="B50" s="98">
        <f>B49*2.04</f>
        <v>619501.08</v>
      </c>
      <c r="C50" s="98">
        <f>C49*1.41</f>
        <v>291146.67</v>
      </c>
      <c r="D50" s="99">
        <f>SUM(B50:C50)</f>
        <v>910647.75</v>
      </c>
      <c r="E50" s="77"/>
      <c r="F50" s="77"/>
      <c r="G50" s="11"/>
      <c r="H50" s="78"/>
      <c r="I50" s="59">
        <f>H49/(B49*2.04+C49*1.41)</f>
        <v>0.40137420863336015</v>
      </c>
      <c r="J50" s="96"/>
      <c r="K50" s="95"/>
    </row>
    <row r="51" spans="1:9" ht="18">
      <c r="A51" s="91" t="s">
        <v>50</v>
      </c>
      <c r="B51" s="75"/>
      <c r="C51" s="75"/>
      <c r="D51" s="75"/>
      <c r="E51" s="75"/>
      <c r="F51" s="75"/>
      <c r="G51" s="75"/>
      <c r="H51" s="75"/>
      <c r="I51" s="75"/>
    </row>
    <row r="52" ht="15">
      <c r="A52" s="92" t="s">
        <v>51</v>
      </c>
    </row>
    <row r="53" ht="15">
      <c r="A53" s="93" t="s">
        <v>52</v>
      </c>
    </row>
    <row r="54" ht="15">
      <c r="A54" s="92" t="s">
        <v>53</v>
      </c>
    </row>
    <row r="55" spans="1:3" ht="15">
      <c r="A55" s="92" t="s">
        <v>57</v>
      </c>
      <c r="B55" s="92"/>
      <c r="C55" s="92"/>
    </row>
  </sheetData>
  <printOptions/>
  <pageMargins left="0.2" right="0.2" top="0.5" bottom="0.5" header="0.05" footer="0"/>
  <pageSetup horizontalDpi="600" verticalDpi="600" orientation="landscape"/>
  <headerFooter alignWithMargins="0">
    <oddHeader>&amp;C&amp;14Meals Per Lbor Hour Calculation Work Sheet&amp;"-,Bold"   September   &amp;KFF00002011 -2012  SY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NHBOE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NHBOE</dc:creator>
  <cp:keywords/>
  <dc:description/>
  <cp:lastModifiedBy>Melissa Bailey</cp:lastModifiedBy>
  <cp:lastPrinted>2012-12-17T13:01:44Z</cp:lastPrinted>
  <dcterms:created xsi:type="dcterms:W3CDTF">2012-10-05T13:30:08Z</dcterms:created>
  <dcterms:modified xsi:type="dcterms:W3CDTF">2013-05-09T19:22:38Z</dcterms:modified>
  <cp:category/>
  <cp:version/>
  <cp:contentType/>
  <cp:contentStatus/>
</cp:coreProperties>
</file>