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3"/>
  <workbookPr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Shared/Previously Relocated Items/Security/Desktop/Office Seagate/MacBook Pro Desktop/Current Job Prospects/New Haven Ideas/10 Wall Street Lot/Pro_Forma/"/>
    </mc:Choice>
  </mc:AlternateContent>
  <xr:revisionPtr revIDLastSave="0" documentId="13_ncr:1_{CC351186-1AB2-CA46-ACD2-6C5632339AF0}" xr6:coauthVersionLast="46" xr6:coauthVersionMax="46" xr10:uidLastSave="{00000000-0000-0000-0000-000000000000}"/>
  <bookViews>
    <workbookView xWindow="5100" yWindow="0" windowWidth="27740" windowHeight="21800" tabRatio="500" xr2:uid="{00000000-000D-0000-FFFF-FFFF00000000}"/>
  </bookViews>
  <sheets>
    <sheet name="Sheet1" sheetId="1" r:id="rId1"/>
  </sheets>
  <definedNames>
    <definedName name="_xlnm.Print_Area" localSheetId="0">Sheet1!$B$1:$G$162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51" i="1" l="1"/>
  <c r="D85" i="1" s="1"/>
  <c r="D50" i="1"/>
  <c r="D84" i="1" s="1"/>
  <c r="D48" i="1"/>
  <c r="D86" i="1" l="1"/>
  <c r="D64" i="1"/>
  <c r="D52" i="1"/>
  <c r="D40" i="1"/>
  <c r="D38" i="1"/>
  <c r="D91" i="1" s="1"/>
  <c r="D33" i="1"/>
  <c r="D57" i="1" l="1"/>
  <c r="D92" i="1"/>
  <c r="D31" i="1"/>
  <c r="D81" i="1"/>
  <c r="D45" i="1"/>
  <c r="D54" i="1" s="1"/>
  <c r="D32" i="1"/>
  <c r="D89" i="1" l="1"/>
  <c r="D34" i="1"/>
  <c r="D36" i="1"/>
  <c r="D56" i="1" l="1"/>
  <c r="D55" i="1"/>
  <c r="D58" i="1" s="1"/>
  <c r="F24" i="1"/>
  <c r="E20" i="1" s="1"/>
  <c r="D93" i="1" l="1"/>
  <c r="D90" i="1"/>
  <c r="D74" i="1"/>
  <c r="D73" i="1"/>
  <c r="D94" i="1" l="1"/>
  <c r="D96" i="1" s="1"/>
  <c r="D97" i="1" s="1"/>
  <c r="D99" i="1" s="1"/>
  <c r="D75" i="1"/>
  <c r="D72" i="1"/>
  <c r="D100" i="1" l="1"/>
  <c r="D76" i="1"/>
  <c r="D77" i="1" l="1"/>
  <c r="D78" i="1" s="1"/>
  <c r="D157" i="1" s="1"/>
  <c r="D158" i="1" s="1"/>
  <c r="D123" i="1"/>
  <c r="D112" i="1"/>
  <c r="D103" i="1"/>
  <c r="E75" i="1"/>
  <c r="E73" i="1"/>
  <c r="E74" i="1"/>
  <c r="E72" i="1"/>
  <c r="F113" i="1" l="1"/>
  <c r="D159" i="1"/>
  <c r="D105" i="1"/>
  <c r="D106" i="1" s="1"/>
  <c r="D107" i="1" l="1"/>
  <c r="D109" i="1" l="1"/>
  <c r="D117" i="1" s="1"/>
  <c r="F117" i="1" l="1"/>
  <c r="F109" i="1"/>
  <c r="D120" i="1"/>
  <c r="F115" i="1" s="1"/>
  <c r="F120" i="1" l="1"/>
  <c r="D59" i="1"/>
  <c r="D60" i="1" s="1"/>
  <c r="D66" i="1" l="1"/>
  <c r="D62" i="1"/>
</calcChain>
</file>

<file path=xl/sharedStrings.xml><?xml version="1.0" encoding="utf-8"?>
<sst xmlns="http://schemas.openxmlformats.org/spreadsheetml/2006/main" count="180" uniqueCount="134">
  <si>
    <t>Site Area</t>
  </si>
  <si>
    <t>"Back of Envelope" Pro Forma</t>
  </si>
  <si>
    <t>/SF</t>
  </si>
  <si>
    <t>CAP Rate</t>
  </si>
  <si>
    <t>FAR</t>
  </si>
  <si>
    <t>Site Data</t>
  </si>
  <si>
    <t>Loan Constant</t>
  </si>
  <si>
    <t>Annual Debt Service</t>
  </si>
  <si>
    <t>Interest Rate</t>
  </si>
  <si>
    <t>Acres</t>
  </si>
  <si>
    <t>Average Stories</t>
  </si>
  <si>
    <t>Development Data</t>
  </si>
  <si>
    <t>GPI</t>
  </si>
  <si>
    <t>Vacancy</t>
  </si>
  <si>
    <t>GOI</t>
  </si>
  <si>
    <t>NOI</t>
  </si>
  <si>
    <t>Years Loan Term</t>
  </si>
  <si>
    <t>Average Stories of Buildings</t>
  </si>
  <si>
    <t>Project Cost    100%</t>
  </si>
  <si>
    <t>Down payment/Equity       30%</t>
  </si>
  <si>
    <t>Pre-Income Tax ROE</t>
  </si>
  <si>
    <t>Property Tax per Acre</t>
  </si>
  <si>
    <t>Property Tax/Acre</t>
  </si>
  <si>
    <t>SF/Car</t>
  </si>
  <si>
    <t>/Month</t>
  </si>
  <si>
    <t>Property/Tax Yield:</t>
  </si>
  <si>
    <t>8% Vacancy</t>
  </si>
  <si>
    <t>Parking Rates/Month</t>
  </si>
  <si>
    <t>Gross Potential Income (GPI) Parking Rates/Month</t>
  </si>
  <si>
    <t>Gross Potential Income (GPI) Residential Rents/Month</t>
  </si>
  <si>
    <t>Income</t>
  </si>
  <si>
    <t>Total Residential Const Cost for Site</t>
  </si>
  <si>
    <t>Property Tax/Year</t>
  </si>
  <si>
    <t>Project Cost</t>
  </si>
  <si>
    <t>Cash on Cash</t>
  </si>
  <si>
    <t>Net Operation Income/Month</t>
  </si>
  <si>
    <t>Annual Cash Flow and Debt Service</t>
  </si>
  <si>
    <t>Monthly Cash Flow and Debt Service</t>
  </si>
  <si>
    <t>Payment P&amp;I/Month</t>
  </si>
  <si>
    <t>NOI/Month</t>
  </si>
  <si>
    <t xml:space="preserve"> NOI/Year</t>
  </si>
  <si>
    <t>Parking Const Cost/SF</t>
  </si>
  <si>
    <t>Annual Cash Flow above Debt Service and Property Tax</t>
  </si>
  <si>
    <t xml:space="preserve">Total Annual Cash Flow </t>
  </si>
  <si>
    <t>Total DU</t>
  </si>
  <si>
    <t>SF</t>
  </si>
  <si>
    <t>Total Building SF</t>
  </si>
  <si>
    <t>Floor Area Ratio (FAR)</t>
  </si>
  <si>
    <t>Total/Month</t>
  </si>
  <si>
    <t>Construction Cost</t>
  </si>
  <si>
    <t>Debt       70%</t>
  </si>
  <si>
    <t>/Year</t>
  </si>
  <si>
    <t>Annual depreciation @ 27.5 years assumes 75% of project cost = value of improvements to land/year</t>
  </si>
  <si>
    <t>Average Parking Rate</t>
  </si>
  <si>
    <t>Debt Service Coverage Ratio</t>
  </si>
  <si>
    <t>Gross Operating Income/Month</t>
  </si>
  <si>
    <t>Assume DU/Acre</t>
  </si>
  <si>
    <t>/Acre</t>
  </si>
  <si>
    <t>Average Size of Parking Space (Includes 40% aisles, ramps, etc.)</t>
  </si>
  <si>
    <t>Units/Floor</t>
  </si>
  <si>
    <t>Average Apartment Rent (lofts and 1-Bedrooms)</t>
  </si>
  <si>
    <t>Assume Shops/Acre</t>
  </si>
  <si>
    <t>Rental Leases/Month</t>
  </si>
  <si>
    <t>Retail Leases/Month</t>
  </si>
  <si>
    <t>Residential Rents/Month</t>
  </si>
  <si>
    <t>Total Residents</t>
  </si>
  <si>
    <t>Total Potential Residents</t>
  </si>
  <si>
    <t>Total Shops/Eateries</t>
  </si>
  <si>
    <t>Robert Orr &amp; Associates LLC</t>
  </si>
  <si>
    <t>Site</t>
  </si>
  <si>
    <t>Vision Appraisal</t>
  </si>
  <si>
    <t>Property Cost</t>
  </si>
  <si>
    <t>Cost</t>
  </si>
  <si>
    <t>Total DU/Site</t>
  </si>
  <si>
    <t>Shops &amp; Eateries/Acre</t>
  </si>
  <si>
    <t>SF (Net/Unit)</t>
  </si>
  <si>
    <t>SF (Gross)</t>
  </si>
  <si>
    <t>SF (Net)</t>
  </si>
  <si>
    <t>Total Cars</t>
  </si>
  <si>
    <t xml:space="preserve">Total Sub-grade SF for Garage Level </t>
  </si>
  <si>
    <t>Total Sub-grade Const Cost for Parking</t>
  </si>
  <si>
    <t>Total Project Cost</t>
  </si>
  <si>
    <t>Total Micro Manufacturing Const Cost</t>
  </si>
  <si>
    <t>Gross Potential Income (GPI) Micro Manufacturing Leases/Month</t>
  </si>
  <si>
    <t>Total Gross Potential Income/Month</t>
  </si>
  <si>
    <t>Average Shop/Bistro/Cafe Size</t>
  </si>
  <si>
    <t>Total Shop/Bistro/Cafe Const Cost for Site</t>
  </si>
  <si>
    <t>Average Shop/Bistro/Cafe Rental</t>
  </si>
  <si>
    <t>Total Shops &amp; Bistro/Cafes</t>
  </si>
  <si>
    <t>Total Net SF</t>
  </si>
  <si>
    <t>Total Residential SF/Site</t>
  </si>
  <si>
    <t>Total Shop/Bistro/Cafe SF/Site</t>
  </si>
  <si>
    <t>Total Micro Manufacturing SF/Site</t>
  </si>
  <si>
    <t>Total Above Grade Buildings/for Site</t>
  </si>
  <si>
    <t xml:space="preserve">       Studios (40%)</t>
  </si>
  <si>
    <t xml:space="preserve">       1-Bedrooms (60%)</t>
  </si>
  <si>
    <t>Net to Gross Multiplier 1.15</t>
  </si>
  <si>
    <t>Total Lots</t>
  </si>
  <si>
    <t>Lot</t>
  </si>
  <si>
    <t>Building</t>
  </si>
  <si>
    <t>30X40</t>
  </si>
  <si>
    <t>30X50</t>
  </si>
  <si>
    <t>Lots/Site</t>
  </si>
  <si>
    <t>(2 15'X40' boxes)</t>
  </si>
  <si>
    <t>Construction Cost (pre-fab or trailer)/SF</t>
  </si>
  <si>
    <t>Gross Potential Income (GPI) Shop/Eatery Leases/Month</t>
  </si>
  <si>
    <t>Averge DU Size (Net)</t>
  </si>
  <si>
    <t>Average DU/Floor</t>
  </si>
  <si>
    <t>Total Capacity Cars  (parked 1 level below grade - depending on space allowed by high water table). Perhaps, project sits on slightly raised platform.</t>
  </si>
  <si>
    <t>Assessment</t>
  </si>
  <si>
    <t>Vision Assessment</t>
  </si>
  <si>
    <t>Appraisal</t>
  </si>
  <si>
    <t>Assume Innovation Start-Ups/Acre</t>
  </si>
  <si>
    <t>Total Innovation Start-Ups</t>
  </si>
  <si>
    <t>Micro Innovation Start-Ups/Acre</t>
  </si>
  <si>
    <t>Micro Manufacturing Units/Acre</t>
  </si>
  <si>
    <t>TotalMicro Manufacturing Units</t>
  </si>
  <si>
    <t>Average Innovation/Start-Up</t>
  </si>
  <si>
    <t>Innovation/Start-Up</t>
  </si>
  <si>
    <t>Gross Potential Income (GPI) Innovation/Start-Up Leases/Month</t>
  </si>
  <si>
    <t xml:space="preserve">       Studio</t>
  </si>
  <si>
    <t xml:space="preserve">       1-Bedroom</t>
  </si>
  <si>
    <t>Property Tax (70% of Project Value X 42.98 Mill Rate)</t>
  </si>
  <si>
    <t>Project Cost at Completion (Project Value)</t>
  </si>
  <si>
    <t>(w/o Subsidies, Credits, Etc.)</t>
  </si>
  <si>
    <t>Total Construction Hard Cost for Site</t>
  </si>
  <si>
    <t>Total Construction Soft Costs</t>
  </si>
  <si>
    <t>10-Pack Building (10 DU or 9 DU plus 2 stores or 8 DU plus 1 Small &amp; Micro Manufacturing or Innovation/Start-Up if Mixed-Use).  Assumptions:</t>
  </si>
  <si>
    <t>Assume Small &amp; Micro Manufacturing Units/Acre</t>
  </si>
  <si>
    <t>Total Small &amp; Micro Manufacturing Units</t>
  </si>
  <si>
    <t>Average Small &amp; Micro Manufacturing Units</t>
  </si>
  <si>
    <t>Small &amp; Micro Manufacturing Rental</t>
  </si>
  <si>
    <t>Operating Expense and Tax (35% of GOI)</t>
  </si>
  <si>
    <t>Wall Street Preliminary Draft Pro Forma - Lean Development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</si>
</sst>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164" formatCode="&quot;$&quot;#,##0"/>
    <numFmt numFmtId="165" formatCode="&quot;$&quot;#,##0.00"/>
    <numFmt numFmtId="166" formatCode="0.0%"/>
    <numFmt numFmtId="167" formatCode="#,##0.0"/>
  </numFmts>
  <fonts count="10" x14ac:knownFonts="1">
    <font>
      <sz val="12"/>
      <color theme="1"/>
      <name val="Calibri"/>
      <family val="2"/>
      <charset val="134"/>
      <scheme val="minor"/>
    </font>
    <font>
      <sz val="14"/>
      <color theme="1"/>
      <name val="Avenir Book"/>
      <family val="2"/>
    </font>
    <font>
      <b/>
      <sz val="14"/>
      <color theme="1"/>
      <name val="Avenir Book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Avenir Book"/>
      <family val="2"/>
    </font>
    <font>
      <sz val="16"/>
      <color theme="1"/>
      <name val="Avenir Book"/>
      <family val="2"/>
    </font>
    <font>
      <sz val="12"/>
      <color theme="1"/>
      <name val="Avenir Book"/>
      <family val="2"/>
    </font>
    <font>
      <sz val="13"/>
      <color rgb="FF333333"/>
      <name val="Helvetica Neue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407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82">
    <xf numFmtId="0" fontId="0" fillId="0" borderId="0" xfId="0"/>
    <xf numFmtId="0" fontId="1" fillId="0" borderId="0" xfId="0" applyFont="1" applyAlignment="1"/>
    <xf numFmtId="0" fontId="6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7" fillId="0" borderId="0" xfId="0" applyFont="1" applyAlignment="1"/>
    <xf numFmtId="3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8" fillId="0" borderId="0" xfId="0" applyFont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1" fillId="0" borderId="0" xfId="0" applyFont="1" applyBorder="1" applyAlignment="1">
      <alignment vertical="center"/>
    </xf>
    <xf numFmtId="165" fontId="1" fillId="0" borderId="0" xfId="0" applyNumberFormat="1" applyFont="1" applyAlignment="1">
      <alignment vertical="center"/>
    </xf>
    <xf numFmtId="164" fontId="1" fillId="0" borderId="0" xfId="0" applyNumberFormat="1" applyFont="1" applyBorder="1" applyAlignment="1">
      <alignment vertical="center"/>
    </xf>
    <xf numFmtId="4" fontId="1" fillId="0" borderId="0" xfId="0" applyNumberFormat="1" applyFont="1" applyAlignment="1">
      <alignment vertical="center"/>
    </xf>
    <xf numFmtId="3" fontId="1" fillId="0" borderId="1" xfId="0" applyNumberFormat="1" applyFont="1" applyBorder="1" applyAlignment="1">
      <alignment vertical="center"/>
    </xf>
    <xf numFmtId="3" fontId="1" fillId="0" borderId="0" xfId="0" applyNumberFormat="1" applyFont="1" applyBorder="1" applyAlignment="1">
      <alignment vertical="center"/>
    </xf>
    <xf numFmtId="10" fontId="1" fillId="0" borderId="0" xfId="0" applyNumberFormat="1" applyFont="1" applyAlignment="1">
      <alignment vertical="center"/>
    </xf>
    <xf numFmtId="165" fontId="1" fillId="0" borderId="0" xfId="0" applyNumberFormat="1" applyFont="1" applyAlignment="1">
      <alignment horizontal="right"/>
    </xf>
    <xf numFmtId="9" fontId="1" fillId="0" borderId="0" xfId="0" applyNumberFormat="1" applyFont="1" applyAlignment="1"/>
    <xf numFmtId="2" fontId="1" fillId="0" borderId="0" xfId="0" applyNumberFormat="1" applyFont="1" applyAlignment="1">
      <alignment vertical="center"/>
    </xf>
    <xf numFmtId="0" fontId="1" fillId="0" borderId="1" xfId="0" applyFont="1" applyBorder="1" applyAlignment="1">
      <alignment vertical="center"/>
    </xf>
    <xf numFmtId="164" fontId="1" fillId="0" borderId="1" xfId="0" applyNumberFormat="1" applyFont="1" applyBorder="1" applyAlignment="1">
      <alignment horizontal="right"/>
    </xf>
    <xf numFmtId="0" fontId="1" fillId="0" borderId="0" xfId="0" applyFont="1" applyBorder="1" applyAlignment="1">
      <alignment horizontal="right" vertical="center"/>
    </xf>
    <xf numFmtId="0" fontId="1" fillId="0" borderId="1" xfId="0" applyFont="1" applyBorder="1" applyAlignment="1"/>
    <xf numFmtId="0" fontId="1" fillId="0" borderId="0" xfId="0" applyFont="1" applyBorder="1" applyAlignment="1"/>
    <xf numFmtId="164" fontId="1" fillId="0" borderId="0" xfId="0" applyNumberFormat="1" applyFont="1" applyBorder="1" applyAlignment="1">
      <alignment horizontal="right"/>
    </xf>
    <xf numFmtId="10" fontId="1" fillId="0" borderId="0" xfId="0" applyNumberFormat="1" applyFont="1" applyBorder="1" applyAlignment="1">
      <alignment vertical="center"/>
    </xf>
    <xf numFmtId="9" fontId="1" fillId="0" borderId="0" xfId="0" applyNumberFormat="1" applyFont="1" applyBorder="1" applyAlignment="1">
      <alignment vertical="center"/>
    </xf>
    <xf numFmtId="0" fontId="0" fillId="0" borderId="0" xfId="0" applyFont="1" applyAlignment="1">
      <alignment vertical="center"/>
    </xf>
    <xf numFmtId="0" fontId="1" fillId="0" borderId="0" xfId="0" applyFont="1" applyBorder="1" applyAlignment="1">
      <alignment horizontal="left" vertical="center"/>
    </xf>
    <xf numFmtId="4" fontId="1" fillId="0" borderId="1" xfId="0" applyNumberFormat="1" applyFont="1" applyBorder="1" applyAlignment="1">
      <alignment vertical="center"/>
    </xf>
    <xf numFmtId="165" fontId="1" fillId="0" borderId="0" xfId="0" applyNumberFormat="1" applyFont="1" applyBorder="1" applyAlignment="1"/>
    <xf numFmtId="0" fontId="2" fillId="0" borderId="2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3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64" fontId="1" fillId="0" borderId="0" xfId="0" applyNumberFormat="1" applyFont="1" applyBorder="1" applyAlignment="1"/>
    <xf numFmtId="164" fontId="1" fillId="0" borderId="1" xfId="0" applyNumberFormat="1" applyFont="1" applyBorder="1" applyAlignment="1"/>
    <xf numFmtId="164" fontId="1" fillId="0" borderId="0" xfId="0" applyNumberFormat="1" applyFont="1" applyAlignment="1"/>
    <xf numFmtId="0" fontId="2" fillId="0" borderId="1" xfId="0" applyFont="1" applyBorder="1" applyAlignment="1">
      <alignment vertical="center"/>
    </xf>
    <xf numFmtId="166" fontId="1" fillId="0" borderId="0" xfId="0" applyNumberFormat="1" applyFont="1" applyAlignment="1"/>
    <xf numFmtId="0" fontId="1" fillId="0" borderId="1" xfId="0" applyFont="1" applyBorder="1" applyAlignment="1">
      <alignment horizontal="right" vertical="center"/>
    </xf>
    <xf numFmtId="3" fontId="1" fillId="0" borderId="1" xfId="0" applyNumberFormat="1" applyFont="1" applyBorder="1" applyAlignment="1"/>
    <xf numFmtId="3" fontId="1" fillId="0" borderId="0" xfId="0" applyNumberFormat="1" applyFont="1" applyAlignment="1"/>
    <xf numFmtId="0" fontId="6" fillId="0" borderId="2" xfId="0" applyFont="1" applyBorder="1" applyAlignment="1">
      <alignment vertical="center"/>
    </xf>
    <xf numFmtId="0" fontId="7" fillId="0" borderId="2" xfId="0" applyFont="1" applyBorder="1" applyAlignment="1"/>
    <xf numFmtId="0" fontId="8" fillId="0" borderId="2" xfId="0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7" fillId="0" borderId="0" xfId="0" applyFont="1" applyBorder="1" applyAlignment="1"/>
    <xf numFmtId="0" fontId="8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2" fontId="1" fillId="0" borderId="0" xfId="0" applyNumberFormat="1" applyFont="1" applyAlignment="1"/>
    <xf numFmtId="9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/>
    <xf numFmtId="164" fontId="2" fillId="0" borderId="1" xfId="0" applyNumberFormat="1" applyFont="1" applyBorder="1" applyAlignment="1"/>
    <xf numFmtId="10" fontId="1" fillId="0" borderId="2" xfId="0" applyNumberFormat="1" applyFont="1" applyBorder="1" applyAlignment="1">
      <alignment vertical="center"/>
    </xf>
    <xf numFmtId="164" fontId="2" fillId="0" borderId="0" xfId="0" applyNumberFormat="1" applyFont="1" applyAlignment="1">
      <alignment vertical="center"/>
    </xf>
    <xf numFmtId="164" fontId="2" fillId="0" borderId="1" xfId="0" applyNumberFormat="1" applyFont="1" applyBorder="1" applyAlignment="1">
      <alignment horizontal="right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1" fillId="0" borderId="1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164" fontId="1" fillId="0" borderId="0" xfId="0" applyNumberFormat="1" applyFont="1" applyAlignment="1">
      <alignment horizontal="right"/>
    </xf>
    <xf numFmtId="10" fontId="2" fillId="0" borderId="0" xfId="0" applyNumberFormat="1" applyFont="1" applyAlignment="1">
      <alignment vertical="center"/>
    </xf>
    <xf numFmtId="164" fontId="2" fillId="0" borderId="0" xfId="0" applyNumberFormat="1" applyFont="1" applyAlignment="1">
      <alignment horizontal="right"/>
    </xf>
    <xf numFmtId="10" fontId="2" fillId="0" borderId="1" xfId="0" applyNumberFormat="1" applyFont="1" applyBorder="1" applyAlignment="1">
      <alignment vertical="center"/>
    </xf>
    <xf numFmtId="10" fontId="2" fillId="0" borderId="0" xfId="0" applyNumberFormat="1" applyFont="1" applyBorder="1" applyAlignment="1">
      <alignment horizontal="right"/>
    </xf>
    <xf numFmtId="3" fontId="1" fillId="0" borderId="0" xfId="0" applyNumberFormat="1" applyFont="1" applyBorder="1" applyAlignment="1"/>
    <xf numFmtId="0" fontId="0" fillId="0" borderId="0" xfId="0" applyFont="1" applyAlignment="1">
      <alignment vertical="center" wrapText="1"/>
    </xf>
    <xf numFmtId="167" fontId="7" fillId="0" borderId="0" xfId="0" applyNumberFormat="1" applyFont="1" applyAlignment="1">
      <alignment vertical="center"/>
    </xf>
    <xf numFmtId="0" fontId="1" fillId="0" borderId="0" xfId="0" applyFont="1" applyAlignment="1">
      <alignment horizontal="center"/>
    </xf>
    <xf numFmtId="0" fontId="0" fillId="0" borderId="0" xfId="0" applyFont="1" applyBorder="1" applyAlignment="1">
      <alignment vertical="center"/>
    </xf>
    <xf numFmtId="6" fontId="9" fillId="0" borderId="0" xfId="0" applyNumberFormat="1" applyFont="1"/>
    <xf numFmtId="0" fontId="1" fillId="0" borderId="0" xfId="0" applyFont="1" applyBorder="1" applyAlignment="1">
      <alignment horizontal="right" vertical="center" wrapText="1"/>
    </xf>
    <xf numFmtId="0" fontId="0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0" fillId="0" borderId="0" xfId="0" applyAlignment="1">
      <alignment vertical="center" wrapText="1"/>
    </xf>
  </cellXfs>
  <cellStyles count="40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5" Type="http://schemas.openxmlformats.org/officeDocument/2006/relationships/image" Target="../media/image5.tiff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1155700</xdr:colOff>
      <xdr:row>6</xdr:row>
      <xdr:rowOff>65926</xdr:rowOff>
    </xdr:from>
    <xdr:to>
      <xdr:col>4</xdr:col>
      <xdr:colOff>877551</xdr:colOff>
      <xdr:row>12</xdr:row>
      <xdr:rowOff>279400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500" y="2047126"/>
          <a:ext cx="1385551" cy="1966074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140</xdr:row>
      <xdr:rowOff>214020</xdr:rowOff>
    </xdr:from>
    <xdr:to>
      <xdr:col>6</xdr:col>
      <xdr:colOff>1701800</xdr:colOff>
      <xdr:row>153</xdr:row>
      <xdr:rowOff>244475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5DCE46-3FEE-924E-AE69-AC957BF717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11966"/>
        <a:stretch/>
      </xdr:blipFill>
      <xdr:spPr>
        <a:xfrm>
          <a:off x="8712200" y="32370420"/>
          <a:ext cx="3911600" cy="3332455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</xdr:row>
      <xdr:rowOff>279400</xdr:rowOff>
    </xdr:from>
    <xdr:to>
      <xdr:col>2</xdr:col>
      <xdr:colOff>5232400</xdr:colOff>
      <xdr:row>19</xdr:row>
      <xdr:rowOff>218141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8D43FB-DD2F-FC40-9314-37932C2B4C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431" t="1084" r="29576" b="541"/>
        <a:stretch/>
      </xdr:blipFill>
      <xdr:spPr>
        <a:xfrm>
          <a:off x="1422400" y="1384300"/>
          <a:ext cx="5207000" cy="4612341"/>
        </a:xfrm>
        <a:prstGeom prst="rect">
          <a:avLst/>
        </a:prstGeom>
      </xdr:spPr>
    </xdr:pic>
    <xdr:clientData/>
  </xdr:twoCellAnchor>
  <xdr:twoCellAnchor editAs="oneCell">
    <xdr:from>
      <xdr:col>2</xdr:col>
      <xdr:colOff>3498962</xdr:colOff>
      <xdr:row>140</xdr:row>
      <xdr:rowOff>247535</xdr:rowOff>
    </xdr:from>
    <xdr:to>
      <xdr:col>3</xdr:col>
      <xdr:colOff>1422397</xdr:colOff>
      <xdr:row>154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C0BB0D6-8A2F-0C41-AE7B-BACFE68EE8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1041" t="-739" r="13267" b="739"/>
        <a:stretch/>
      </xdr:blipFill>
      <xdr:spPr>
        <a:xfrm rot="5400000">
          <a:off x="4959347" y="34778950"/>
          <a:ext cx="3308465" cy="3435235"/>
        </a:xfrm>
        <a:prstGeom prst="rect">
          <a:avLst/>
        </a:prstGeom>
      </xdr:spPr>
    </xdr:pic>
    <xdr:clientData/>
  </xdr:twoCellAnchor>
  <xdr:twoCellAnchor editAs="oneCell">
    <xdr:from>
      <xdr:col>2</xdr:col>
      <xdr:colOff>12699</xdr:colOff>
      <xdr:row>140</xdr:row>
      <xdr:rowOff>228600</xdr:rowOff>
    </xdr:from>
    <xdr:to>
      <xdr:col>2</xdr:col>
      <xdr:colOff>3062582</xdr:colOff>
      <xdr:row>154</xdr:row>
      <xdr:rowOff>14532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334206C-CF15-9D47-B517-B87CBD62F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9699" y="34823400"/>
          <a:ext cx="3049883" cy="33419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N179"/>
  <sheetViews>
    <sheetView tabSelected="1" topLeftCell="A12" workbookViewId="0">
      <selection activeCell="C2" sqref="C2"/>
    </sheetView>
  </sheetViews>
  <sheetFormatPr baseColWidth="10" defaultRowHeight="20" x14ac:dyDescent="0.3"/>
  <cols>
    <col min="1" max="1" width="10.83203125" style="1"/>
    <col min="2" max="2" width="7.5" style="1" customWidth="1"/>
    <col min="3" max="3" width="72.33203125" style="1" customWidth="1"/>
    <col min="4" max="4" width="21.83203125" style="1" bestFit="1" customWidth="1"/>
    <col min="5" max="5" width="20.33203125" style="1" bestFit="1" customWidth="1"/>
    <col min="6" max="6" width="10.5" style="1" customWidth="1"/>
    <col min="7" max="7" width="24.1640625" style="1" customWidth="1"/>
    <col min="8" max="8" width="22.5" style="1" customWidth="1"/>
    <col min="9" max="9" width="13.6640625" style="1" customWidth="1"/>
    <col min="10" max="16384" width="10.83203125" style="1"/>
  </cols>
  <sheetData>
    <row r="1" spans="2:14" ht="23" x14ac:dyDescent="0.3">
      <c r="B1" s="2" t="s">
        <v>1</v>
      </c>
      <c r="D1" s="10"/>
      <c r="E1" s="30"/>
      <c r="F1" s="30"/>
      <c r="G1" s="5"/>
      <c r="H1" s="5"/>
      <c r="I1" s="5"/>
      <c r="J1" s="5"/>
      <c r="K1" s="5"/>
      <c r="L1" s="5"/>
    </row>
    <row r="2" spans="2:14" ht="27" customHeight="1" x14ac:dyDescent="0.3">
      <c r="B2" s="5" t="s">
        <v>68</v>
      </c>
      <c r="C2" s="4"/>
      <c r="D2" s="30"/>
      <c r="E2" s="30"/>
      <c r="F2" s="30"/>
      <c r="G2" s="5"/>
      <c r="H2" s="5"/>
      <c r="I2" s="5"/>
      <c r="J2" s="5"/>
      <c r="K2" s="5"/>
      <c r="L2" s="5"/>
    </row>
    <row r="3" spans="2:14" s="6" customFormat="1" ht="23" x14ac:dyDescent="0.35">
      <c r="B3" s="46" t="s">
        <v>133</v>
      </c>
      <c r="C3" s="47"/>
      <c r="D3" s="48"/>
      <c r="E3" s="48"/>
      <c r="F3" s="48"/>
      <c r="G3" s="49"/>
      <c r="H3" s="4"/>
      <c r="I3" s="4"/>
      <c r="J3" s="4"/>
      <c r="K3" s="4"/>
      <c r="L3" s="4"/>
    </row>
    <row r="4" spans="2:14" s="6" customFormat="1" ht="23" x14ac:dyDescent="0.35">
      <c r="B4" s="50"/>
      <c r="C4" s="51"/>
      <c r="D4" s="52"/>
      <c r="E4" s="52"/>
      <c r="F4" s="52"/>
      <c r="G4" s="53"/>
      <c r="H4" s="4"/>
      <c r="I4" s="4"/>
      <c r="J4" s="4"/>
      <c r="K4" s="4"/>
      <c r="L4" s="4"/>
    </row>
    <row r="5" spans="2:14" s="6" customFormat="1" ht="23" x14ac:dyDescent="0.35">
      <c r="B5" s="50"/>
      <c r="C5" s="51"/>
      <c r="D5" s="52"/>
      <c r="E5" s="52"/>
      <c r="F5" s="52"/>
      <c r="G5" s="53"/>
      <c r="H5" s="4"/>
      <c r="I5" s="4"/>
      <c r="J5" s="4"/>
      <c r="K5" s="4"/>
      <c r="L5" s="4"/>
    </row>
    <row r="6" spans="2:14" s="6" customFormat="1" ht="23" x14ac:dyDescent="0.35">
      <c r="B6" s="50"/>
      <c r="C6" s="51"/>
      <c r="D6" s="52"/>
      <c r="E6" s="52"/>
      <c r="F6" s="52"/>
      <c r="G6" s="53"/>
      <c r="H6" s="4"/>
      <c r="I6" s="4"/>
      <c r="J6" s="4"/>
      <c r="K6" s="4"/>
      <c r="L6" s="4"/>
    </row>
    <row r="7" spans="2:14" ht="23" x14ac:dyDescent="0.35">
      <c r="B7" s="5"/>
      <c r="C7" s="5"/>
      <c r="D7" s="10"/>
      <c r="E7" s="10"/>
      <c r="F7" s="10"/>
      <c r="G7" s="5"/>
      <c r="H7" s="4"/>
      <c r="I7" s="4"/>
      <c r="J7" s="4"/>
      <c r="K7" s="4"/>
      <c r="L7" s="4"/>
      <c r="M7" s="6"/>
      <c r="N7" s="6"/>
    </row>
    <row r="8" spans="2:14" ht="23" x14ac:dyDescent="0.35">
      <c r="B8" s="5"/>
      <c r="C8" s="5"/>
      <c r="D8" s="5"/>
      <c r="E8" s="5"/>
      <c r="F8" s="5"/>
      <c r="G8" s="5"/>
      <c r="H8" s="4"/>
      <c r="I8" s="4"/>
      <c r="J8" s="4"/>
      <c r="K8" s="4"/>
      <c r="L8" s="4"/>
      <c r="M8" s="6"/>
      <c r="N8" s="6"/>
    </row>
    <row r="9" spans="2:14" ht="23" x14ac:dyDescent="0.35">
      <c r="B9" s="5"/>
      <c r="C9" s="5"/>
      <c r="D9" s="5"/>
      <c r="E9" s="5"/>
      <c r="F9" s="5"/>
      <c r="G9" s="5"/>
      <c r="H9" s="4"/>
      <c r="I9" s="4"/>
      <c r="J9" s="4"/>
      <c r="K9" s="4"/>
      <c r="L9" s="4"/>
      <c r="M9" s="6"/>
      <c r="N9" s="6"/>
    </row>
    <row r="10" spans="2:14" ht="23" x14ac:dyDescent="0.35">
      <c r="B10" s="5"/>
      <c r="C10" s="5"/>
      <c r="D10" s="5"/>
      <c r="E10" s="5"/>
      <c r="F10" s="5"/>
      <c r="G10" s="12"/>
      <c r="H10" s="4"/>
      <c r="I10" s="4"/>
      <c r="J10" s="4"/>
      <c r="K10" s="4"/>
      <c r="L10" s="4"/>
      <c r="M10" s="6"/>
      <c r="N10" s="6"/>
    </row>
    <row r="11" spans="2:14" ht="23" x14ac:dyDescent="0.35">
      <c r="B11" s="5"/>
      <c r="C11" s="5"/>
      <c r="G11" s="12"/>
      <c r="H11" s="4"/>
      <c r="I11" s="4"/>
      <c r="J11" s="4"/>
      <c r="K11" s="4"/>
      <c r="L11" s="4"/>
      <c r="M11" s="6"/>
      <c r="N11" s="6"/>
    </row>
    <row r="12" spans="2:14" ht="23" x14ac:dyDescent="0.35">
      <c r="B12" s="5"/>
      <c r="C12" s="5"/>
      <c r="G12" s="12"/>
      <c r="H12" s="4"/>
      <c r="I12" s="4"/>
      <c r="J12" s="4"/>
      <c r="K12" s="4"/>
      <c r="L12" s="4"/>
      <c r="M12" s="6"/>
      <c r="N12" s="6"/>
    </row>
    <row r="13" spans="2:14" ht="23" x14ac:dyDescent="0.35">
      <c r="B13" s="5"/>
      <c r="C13" s="5"/>
      <c r="G13" s="12"/>
      <c r="H13" s="4"/>
      <c r="I13" s="4"/>
      <c r="J13" s="4"/>
      <c r="K13" s="4"/>
      <c r="L13" s="4"/>
      <c r="M13" s="6"/>
      <c r="N13" s="6"/>
    </row>
    <row r="14" spans="2:14" ht="23" x14ac:dyDescent="0.35">
      <c r="B14" s="5"/>
      <c r="C14" s="5"/>
      <c r="G14" s="12"/>
      <c r="H14" s="4"/>
      <c r="I14" s="4"/>
      <c r="J14" s="4"/>
      <c r="K14" s="4"/>
      <c r="L14" s="4"/>
      <c r="M14" s="6"/>
      <c r="N14" s="6"/>
    </row>
    <row r="15" spans="2:14" ht="23" x14ac:dyDescent="0.35">
      <c r="B15" s="5"/>
      <c r="C15" s="5"/>
      <c r="D15" s="79" t="s">
        <v>127</v>
      </c>
      <c r="E15" s="78"/>
      <c r="F15" s="78"/>
      <c r="G15" s="5"/>
      <c r="H15" s="4"/>
      <c r="I15" s="4"/>
      <c r="J15" s="4"/>
      <c r="K15" s="4"/>
      <c r="L15" s="4"/>
      <c r="M15" s="6"/>
      <c r="N15" s="6"/>
    </row>
    <row r="16" spans="2:14" ht="23" x14ac:dyDescent="0.35">
      <c r="B16" s="5"/>
      <c r="C16" s="5"/>
      <c r="D16" s="78"/>
      <c r="E16" s="78"/>
      <c r="F16" s="78"/>
      <c r="G16" s="5"/>
      <c r="H16" s="73"/>
      <c r="I16" s="4"/>
      <c r="J16" s="4"/>
      <c r="K16" s="4"/>
      <c r="L16" s="4"/>
      <c r="M16" s="6"/>
      <c r="N16" s="6"/>
    </row>
    <row r="17" spans="2:14" ht="23" x14ac:dyDescent="0.35">
      <c r="B17" s="5"/>
      <c r="C17" s="5"/>
      <c r="D17" s="78"/>
      <c r="E17" s="78"/>
      <c r="F17" s="78"/>
      <c r="G17" s="5"/>
      <c r="H17" s="73"/>
      <c r="I17" s="4"/>
      <c r="J17" s="4"/>
      <c r="K17" s="4"/>
      <c r="L17" s="4"/>
      <c r="M17" s="6"/>
      <c r="N17" s="6"/>
    </row>
    <row r="18" spans="2:14" ht="23" x14ac:dyDescent="0.35">
      <c r="B18" s="5"/>
      <c r="C18" s="5"/>
      <c r="D18" s="9" t="s">
        <v>98</v>
      </c>
      <c r="E18" s="74" t="s">
        <v>101</v>
      </c>
      <c r="F18" s="5"/>
      <c r="G18" s="5"/>
      <c r="H18" s="73"/>
      <c r="I18" s="4"/>
      <c r="J18" s="4"/>
      <c r="K18" s="4"/>
      <c r="L18" s="4"/>
      <c r="M18" s="6"/>
      <c r="N18" s="6"/>
    </row>
    <row r="19" spans="2:14" ht="23" x14ac:dyDescent="0.35">
      <c r="B19" s="5"/>
      <c r="C19" s="5"/>
      <c r="D19" s="9" t="s">
        <v>99</v>
      </c>
      <c r="E19" s="74" t="s">
        <v>100</v>
      </c>
      <c r="F19" s="5" t="s">
        <v>103</v>
      </c>
      <c r="G19" s="5"/>
      <c r="H19" s="73"/>
      <c r="I19" s="4"/>
      <c r="J19" s="4"/>
      <c r="K19" s="4"/>
      <c r="L19" s="4"/>
      <c r="M19" s="6"/>
      <c r="N19" s="6"/>
    </row>
    <row r="20" spans="2:14" ht="23" x14ac:dyDescent="0.35">
      <c r="B20" s="5"/>
      <c r="C20" s="5"/>
      <c r="D20" s="1" t="s">
        <v>97</v>
      </c>
      <c r="E20" s="45">
        <f>(F24*0.65)/(30*50)</f>
        <v>20.197320000000001</v>
      </c>
      <c r="F20" s="1" t="s">
        <v>102</v>
      </c>
      <c r="G20" s="15"/>
      <c r="H20" s="73"/>
      <c r="I20" s="4"/>
      <c r="J20" s="4"/>
      <c r="K20" s="4"/>
      <c r="L20" s="4"/>
      <c r="M20" s="6"/>
      <c r="N20" s="6"/>
    </row>
    <row r="21" spans="2:14" ht="23" x14ac:dyDescent="0.35">
      <c r="B21" s="5"/>
      <c r="C21" s="5" t="s">
        <v>69</v>
      </c>
      <c r="D21" s="5"/>
      <c r="E21" s="5"/>
      <c r="F21" s="5"/>
      <c r="G21" s="15"/>
      <c r="H21" s="73"/>
      <c r="I21" s="4"/>
      <c r="J21" s="4"/>
      <c r="K21" s="4"/>
      <c r="L21" s="4"/>
      <c r="M21" s="6"/>
      <c r="N21" s="6"/>
    </row>
    <row r="22" spans="2:14" ht="23" x14ac:dyDescent="0.35">
      <c r="B22" s="5"/>
      <c r="D22" s="5"/>
      <c r="E22" s="5"/>
      <c r="F22" s="5"/>
      <c r="G22" s="15"/>
      <c r="H22" s="73"/>
      <c r="I22" s="4"/>
      <c r="J22" s="4"/>
      <c r="K22" s="4"/>
      <c r="L22" s="4"/>
      <c r="M22" s="6"/>
      <c r="N22" s="6"/>
    </row>
    <row r="23" spans="2:14" ht="23" x14ac:dyDescent="0.35">
      <c r="B23" s="3" t="s">
        <v>5</v>
      </c>
      <c r="D23" s="5"/>
      <c r="E23" s="5"/>
      <c r="F23" s="5"/>
      <c r="H23" s="73"/>
      <c r="I23" s="4"/>
      <c r="J23" s="4"/>
      <c r="K23" s="4"/>
      <c r="L23" s="4"/>
      <c r="M23" s="6"/>
      <c r="N23" s="6"/>
    </row>
    <row r="24" spans="2:14" ht="23" x14ac:dyDescent="0.35">
      <c r="B24" s="22"/>
      <c r="C24" s="22" t="s">
        <v>0</v>
      </c>
      <c r="D24" s="32">
        <v>1.07</v>
      </c>
      <c r="E24" s="22" t="s">
        <v>9</v>
      </c>
      <c r="F24" s="44">
        <f>43560*D24</f>
        <v>46609.200000000004</v>
      </c>
      <c r="G24" s="22" t="s">
        <v>45</v>
      </c>
      <c r="H24" s="73"/>
      <c r="I24" s="4"/>
      <c r="J24" s="4"/>
      <c r="K24" s="4"/>
      <c r="L24" s="4"/>
      <c r="M24" s="6"/>
      <c r="N24" s="6"/>
    </row>
    <row r="25" spans="2:14" ht="23" x14ac:dyDescent="0.35">
      <c r="B25" s="12"/>
      <c r="C25" s="12" t="s">
        <v>111</v>
      </c>
      <c r="D25" s="8">
        <v>638100</v>
      </c>
      <c r="E25" s="12" t="s">
        <v>70</v>
      </c>
      <c r="F25" s="71"/>
      <c r="G25" s="12"/>
      <c r="H25" s="73"/>
      <c r="I25" s="4"/>
      <c r="J25" s="4"/>
      <c r="K25" s="4"/>
      <c r="L25" s="4"/>
      <c r="M25" s="6"/>
      <c r="N25" s="6"/>
    </row>
    <row r="26" spans="2:14" ht="23" x14ac:dyDescent="0.35">
      <c r="B26" s="12"/>
      <c r="C26" s="12" t="s">
        <v>109</v>
      </c>
      <c r="D26" s="76">
        <v>446670</v>
      </c>
      <c r="E26" s="12" t="s">
        <v>110</v>
      </c>
      <c r="F26" s="71"/>
      <c r="G26" s="12"/>
      <c r="H26" s="73"/>
      <c r="I26" s="4"/>
      <c r="J26" s="4"/>
      <c r="K26" s="4"/>
      <c r="L26" s="4"/>
      <c r="M26" s="6"/>
      <c r="N26" s="6"/>
    </row>
    <row r="27" spans="2:14" ht="23" x14ac:dyDescent="0.35">
      <c r="B27" s="12"/>
      <c r="C27" s="12" t="s">
        <v>72</v>
      </c>
      <c r="D27" s="8">
        <v>1</v>
      </c>
      <c r="E27" s="1" t="s">
        <v>71</v>
      </c>
      <c r="F27" s="14"/>
      <c r="G27" s="12"/>
      <c r="H27" s="73"/>
      <c r="I27" s="4"/>
      <c r="J27" s="4"/>
      <c r="K27" s="4"/>
      <c r="L27" s="4"/>
      <c r="M27" s="6"/>
      <c r="N27" s="6"/>
    </row>
    <row r="28" spans="2:14" ht="23" x14ac:dyDescent="0.35">
      <c r="B28" s="12"/>
      <c r="C28" s="12"/>
      <c r="E28" s="12"/>
      <c r="F28" s="8"/>
      <c r="G28" s="9" t="s">
        <v>68</v>
      </c>
      <c r="H28" s="73"/>
      <c r="I28" s="4"/>
      <c r="J28" s="4"/>
      <c r="K28" s="4"/>
      <c r="L28" s="4"/>
      <c r="M28" s="6"/>
      <c r="N28" s="6"/>
    </row>
    <row r="29" spans="2:14" ht="23" x14ac:dyDescent="0.35">
      <c r="B29" s="34" t="s">
        <v>11</v>
      </c>
      <c r="C29" s="35"/>
      <c r="D29" s="36"/>
      <c r="E29" s="35"/>
      <c r="F29" s="37"/>
      <c r="G29" s="35"/>
      <c r="H29" s="73"/>
      <c r="I29" s="4"/>
      <c r="J29" s="4"/>
      <c r="K29" s="4"/>
      <c r="L29" s="4"/>
      <c r="M29" s="6"/>
      <c r="N29" s="6"/>
    </row>
    <row r="30" spans="2:14" ht="23" x14ac:dyDescent="0.35">
      <c r="B30" s="62"/>
      <c r="C30" s="12" t="s">
        <v>56</v>
      </c>
      <c r="D30" s="17">
        <v>172</v>
      </c>
      <c r="E30" s="12" t="s">
        <v>57</v>
      </c>
      <c r="F30" s="14"/>
      <c r="G30" s="12"/>
      <c r="H30" s="73"/>
      <c r="I30" s="4"/>
      <c r="J30" s="4"/>
      <c r="K30" s="4"/>
      <c r="L30" s="4"/>
      <c r="M30" s="6"/>
      <c r="N30" s="6"/>
    </row>
    <row r="31" spans="2:14" ht="23" x14ac:dyDescent="0.35">
      <c r="B31" s="62"/>
      <c r="C31" s="12" t="s">
        <v>94</v>
      </c>
      <c r="D31" s="17">
        <f>D30*0.4</f>
        <v>68.8</v>
      </c>
      <c r="E31" s="12" t="s">
        <v>57</v>
      </c>
      <c r="F31" s="14"/>
      <c r="G31" s="12"/>
      <c r="H31" s="73"/>
      <c r="I31" s="4"/>
      <c r="J31" s="4"/>
      <c r="K31" s="4"/>
      <c r="L31" s="4"/>
      <c r="M31" s="6"/>
      <c r="N31" s="6"/>
    </row>
    <row r="32" spans="2:14" ht="23" x14ac:dyDescent="0.35">
      <c r="B32" s="62"/>
      <c r="C32" s="12" t="s">
        <v>95</v>
      </c>
      <c r="D32" s="36">
        <f>D30*0.6</f>
        <v>103.2</v>
      </c>
      <c r="E32" s="12" t="s">
        <v>57</v>
      </c>
      <c r="F32" s="14"/>
      <c r="G32" s="12"/>
      <c r="H32" s="73"/>
      <c r="I32" s="4"/>
      <c r="J32" s="4"/>
      <c r="K32" s="4"/>
      <c r="L32" s="4"/>
      <c r="M32" s="6"/>
      <c r="N32" s="6"/>
    </row>
    <row r="33" spans="2:14" ht="23" x14ac:dyDescent="0.35">
      <c r="B33" s="12"/>
      <c r="C33" s="12" t="s">
        <v>44</v>
      </c>
      <c r="D33" s="17">
        <f>D30*D24</f>
        <v>184.04000000000002</v>
      </c>
      <c r="E33" s="12" t="s">
        <v>73</v>
      </c>
      <c r="F33" s="14"/>
      <c r="G33" s="12"/>
      <c r="H33" s="73"/>
      <c r="I33" s="4"/>
      <c r="J33" s="4"/>
      <c r="K33" s="4"/>
      <c r="L33" s="4"/>
      <c r="M33" s="6"/>
      <c r="N33" s="6"/>
    </row>
    <row r="34" spans="2:14" ht="23" x14ac:dyDescent="0.35">
      <c r="B34" s="12"/>
      <c r="C34" s="12" t="s">
        <v>65</v>
      </c>
      <c r="D34" s="7">
        <f>((D32*2.2)+(D31*1.2))*D24</f>
        <v>331.27200000000005</v>
      </c>
      <c r="E34" s="12" t="s">
        <v>66</v>
      </c>
      <c r="F34" s="14"/>
      <c r="G34" s="12"/>
      <c r="H34" s="73"/>
      <c r="I34" s="4"/>
      <c r="J34" s="4"/>
      <c r="K34" s="4"/>
      <c r="L34" s="4"/>
      <c r="M34" s="6"/>
      <c r="N34" s="6"/>
    </row>
    <row r="35" spans="2:14" ht="23" x14ac:dyDescent="0.35">
      <c r="B35" s="12"/>
      <c r="C35" s="12" t="s">
        <v>61</v>
      </c>
      <c r="D35" s="36">
        <v>7</v>
      </c>
      <c r="E35" s="12" t="s">
        <v>74</v>
      </c>
      <c r="F35" s="14"/>
      <c r="G35" s="12"/>
      <c r="H35" s="73"/>
      <c r="I35" s="4"/>
      <c r="J35" s="4"/>
      <c r="K35" s="4"/>
      <c r="L35" s="4"/>
      <c r="M35" s="6"/>
      <c r="N35" s="6"/>
    </row>
    <row r="36" spans="2:14" ht="23" x14ac:dyDescent="0.35">
      <c r="B36" s="12"/>
      <c r="C36" s="12" t="s">
        <v>67</v>
      </c>
      <c r="D36" s="17">
        <f>D35*D24</f>
        <v>7.49</v>
      </c>
      <c r="E36" s="12" t="s">
        <v>88</v>
      </c>
      <c r="F36" s="14"/>
      <c r="G36" s="12"/>
      <c r="H36" s="73"/>
      <c r="I36" s="4"/>
      <c r="J36" s="4"/>
      <c r="K36" s="4"/>
      <c r="L36" s="4"/>
      <c r="M36" s="6"/>
      <c r="N36" s="6"/>
    </row>
    <row r="37" spans="2:14" ht="23" x14ac:dyDescent="0.35">
      <c r="B37" s="12"/>
      <c r="C37" s="12" t="s">
        <v>128</v>
      </c>
      <c r="D37" s="36">
        <v>2</v>
      </c>
      <c r="E37" s="12" t="s">
        <v>115</v>
      </c>
      <c r="F37" s="14"/>
      <c r="G37" s="12"/>
      <c r="H37" s="4"/>
      <c r="I37" s="4"/>
      <c r="J37" s="4"/>
      <c r="K37" s="4"/>
      <c r="L37" s="4"/>
      <c r="M37" s="6"/>
      <c r="N37" s="6"/>
    </row>
    <row r="38" spans="2:14" ht="23" x14ac:dyDescent="0.35">
      <c r="B38" s="12"/>
      <c r="C38" s="12" t="s">
        <v>129</v>
      </c>
      <c r="D38" s="17">
        <f>D37/D24</f>
        <v>1.8691588785046729</v>
      </c>
      <c r="E38" s="12" t="s">
        <v>116</v>
      </c>
      <c r="F38" s="14"/>
      <c r="G38" s="12"/>
      <c r="H38" s="4"/>
      <c r="I38" s="4"/>
      <c r="J38" s="4"/>
      <c r="K38" s="4"/>
      <c r="L38" s="4"/>
      <c r="M38" s="6"/>
      <c r="N38" s="6"/>
    </row>
    <row r="39" spans="2:14" ht="23" x14ac:dyDescent="0.35">
      <c r="B39" s="12"/>
      <c r="C39" s="12" t="s">
        <v>112</v>
      </c>
      <c r="D39" s="36">
        <v>4</v>
      </c>
      <c r="E39" s="12" t="s">
        <v>114</v>
      </c>
      <c r="F39" s="14"/>
      <c r="G39" s="12"/>
      <c r="H39" s="4"/>
      <c r="I39" s="4"/>
      <c r="J39" s="4"/>
      <c r="K39" s="4"/>
      <c r="L39" s="4"/>
      <c r="M39" s="6"/>
      <c r="N39" s="6"/>
    </row>
    <row r="40" spans="2:14" ht="23" x14ac:dyDescent="0.35">
      <c r="B40" s="12"/>
      <c r="C40" s="12" t="s">
        <v>113</v>
      </c>
      <c r="D40" s="17">
        <f>D39*D24</f>
        <v>4.28</v>
      </c>
      <c r="E40" s="12" t="s">
        <v>113</v>
      </c>
      <c r="F40" s="14"/>
      <c r="G40" s="12"/>
      <c r="H40" s="4"/>
      <c r="I40" s="4"/>
      <c r="J40" s="4"/>
      <c r="K40" s="4"/>
      <c r="L40" s="4"/>
      <c r="M40" s="6"/>
      <c r="N40" s="6"/>
    </row>
    <row r="41" spans="2:14" ht="23" x14ac:dyDescent="0.35">
      <c r="B41" s="12"/>
      <c r="C41" s="12" t="s">
        <v>58</v>
      </c>
      <c r="D41" s="36">
        <v>325</v>
      </c>
      <c r="E41" s="12" t="s">
        <v>23</v>
      </c>
      <c r="F41" s="7"/>
      <c r="H41" s="4"/>
      <c r="I41" s="4"/>
      <c r="J41" s="4"/>
      <c r="K41" s="4"/>
      <c r="L41" s="4"/>
      <c r="M41" s="6"/>
      <c r="N41" s="6"/>
    </row>
    <row r="42" spans="2:14" ht="23" x14ac:dyDescent="0.35">
      <c r="B42" s="12"/>
      <c r="C42" s="80" t="s">
        <v>108</v>
      </c>
      <c r="D42" s="17">
        <v>0</v>
      </c>
      <c r="E42" s="12" t="s">
        <v>78</v>
      </c>
      <c r="F42" s="7"/>
      <c r="H42" s="4"/>
      <c r="I42" s="4"/>
      <c r="J42" s="4"/>
      <c r="K42" s="4"/>
      <c r="L42" s="4"/>
      <c r="M42" s="6"/>
      <c r="N42" s="6"/>
    </row>
    <row r="43" spans="2:14" x14ac:dyDescent="0.3">
      <c r="B43" s="12"/>
      <c r="C43" s="81"/>
      <c r="E43" s="72"/>
      <c r="F43" s="72"/>
      <c r="G43" s="72"/>
      <c r="H43" s="5"/>
      <c r="I43" s="5"/>
      <c r="J43" s="5"/>
      <c r="K43" s="5"/>
      <c r="L43" s="5"/>
    </row>
    <row r="44" spans="2:14" x14ac:dyDescent="0.3">
      <c r="B44" s="12"/>
      <c r="C44" s="81"/>
      <c r="E44" s="72"/>
      <c r="F44" s="72"/>
      <c r="G44" s="72"/>
      <c r="H44" s="5"/>
      <c r="I44" s="5"/>
      <c r="J44" s="5"/>
      <c r="K44" s="5"/>
      <c r="L44" s="5"/>
    </row>
    <row r="45" spans="2:14" x14ac:dyDescent="0.3">
      <c r="B45" s="12"/>
      <c r="C45" s="31" t="s">
        <v>106</v>
      </c>
      <c r="D45" s="7">
        <f>((D46*40)+(D47*60))/100</f>
        <v>486.4</v>
      </c>
      <c r="E45" s="12" t="s">
        <v>75</v>
      </c>
      <c r="F45" s="30"/>
      <c r="G45" s="30"/>
      <c r="H45" s="5"/>
      <c r="I45" s="5"/>
      <c r="J45" s="5"/>
      <c r="K45" s="5"/>
      <c r="L45" s="5"/>
    </row>
    <row r="46" spans="2:14" x14ac:dyDescent="0.3">
      <c r="B46" s="12"/>
      <c r="C46" s="12" t="s">
        <v>120</v>
      </c>
      <c r="D46" s="7">
        <v>304</v>
      </c>
      <c r="E46" s="12" t="s">
        <v>75</v>
      </c>
      <c r="F46" s="30"/>
      <c r="G46" s="30"/>
      <c r="H46" s="5"/>
      <c r="I46" s="5"/>
      <c r="J46" s="5"/>
      <c r="K46" s="5"/>
      <c r="L46" s="5"/>
    </row>
    <row r="47" spans="2:14" x14ac:dyDescent="0.3">
      <c r="B47" s="12"/>
      <c r="C47" s="12" t="s">
        <v>121</v>
      </c>
      <c r="D47" s="7">
        <v>608</v>
      </c>
      <c r="E47" s="12" t="s">
        <v>75</v>
      </c>
      <c r="F47" s="30"/>
      <c r="G47" s="30"/>
      <c r="H47" s="5"/>
      <c r="I47" s="5"/>
      <c r="J47" s="5"/>
      <c r="K47" s="5"/>
      <c r="L47" s="5"/>
    </row>
    <row r="48" spans="2:14" x14ac:dyDescent="0.3">
      <c r="B48" s="12"/>
      <c r="C48" s="31" t="s">
        <v>107</v>
      </c>
      <c r="D48" s="7">
        <f>10/D49</f>
        <v>2.5</v>
      </c>
      <c r="E48" s="12" t="s">
        <v>59</v>
      </c>
      <c r="F48" s="30"/>
      <c r="G48" s="30"/>
      <c r="H48" s="5"/>
      <c r="I48" s="5"/>
      <c r="J48" s="5"/>
      <c r="K48" s="5"/>
      <c r="L48" s="5"/>
    </row>
    <row r="49" spans="2:12" x14ac:dyDescent="0.3">
      <c r="B49" s="12"/>
      <c r="C49" s="31" t="s">
        <v>17</v>
      </c>
      <c r="D49" s="7">
        <v>4</v>
      </c>
      <c r="E49" s="12" t="s">
        <v>10</v>
      </c>
      <c r="F49" s="14"/>
      <c r="G49" s="12"/>
      <c r="H49" s="12"/>
      <c r="I49" s="12"/>
      <c r="J49" s="12"/>
      <c r="K49" s="12"/>
      <c r="L49" s="5"/>
    </row>
    <row r="50" spans="2:12" x14ac:dyDescent="0.3">
      <c r="B50" s="12"/>
      <c r="C50" s="31" t="s">
        <v>85</v>
      </c>
      <c r="D50" s="7">
        <f>D46</f>
        <v>304</v>
      </c>
      <c r="E50" s="12" t="s">
        <v>75</v>
      </c>
      <c r="F50" s="14"/>
      <c r="G50" s="12"/>
      <c r="H50" s="12"/>
      <c r="I50" s="12"/>
      <c r="J50" s="12"/>
      <c r="K50" s="12"/>
      <c r="L50" s="5"/>
    </row>
    <row r="51" spans="2:12" x14ac:dyDescent="0.3">
      <c r="B51" s="12"/>
      <c r="C51" s="31" t="s">
        <v>130</v>
      </c>
      <c r="D51" s="7">
        <f>D46*4</f>
        <v>1216</v>
      </c>
      <c r="E51" s="12" t="s">
        <v>75</v>
      </c>
      <c r="F51" s="14"/>
      <c r="G51" s="12"/>
      <c r="H51" s="12"/>
      <c r="I51" s="12"/>
      <c r="J51" s="12"/>
      <c r="K51" s="12"/>
      <c r="L51" s="5"/>
    </row>
    <row r="52" spans="2:12" x14ac:dyDescent="0.3">
      <c r="B52" s="12"/>
      <c r="C52" s="31" t="s">
        <v>117</v>
      </c>
      <c r="D52" s="7">
        <f>D51</f>
        <v>1216</v>
      </c>
      <c r="E52" s="12" t="s">
        <v>75</v>
      </c>
      <c r="F52" s="14"/>
      <c r="G52" s="12"/>
      <c r="H52" s="12"/>
      <c r="I52" s="12"/>
      <c r="J52" s="12"/>
      <c r="K52" s="12"/>
      <c r="L52" s="5"/>
    </row>
    <row r="54" spans="2:12" s="26" customFormat="1" x14ac:dyDescent="0.3">
      <c r="B54" s="12"/>
      <c r="C54" s="12" t="s">
        <v>90</v>
      </c>
      <c r="D54" s="17">
        <f>D33*D45</f>
        <v>89517.056000000011</v>
      </c>
      <c r="E54" s="12" t="s">
        <v>77</v>
      </c>
      <c r="F54" s="14"/>
      <c r="G54" s="12"/>
      <c r="H54" s="5"/>
      <c r="I54" s="5"/>
      <c r="J54" s="5"/>
      <c r="K54" s="5"/>
      <c r="L54" s="12"/>
    </row>
    <row r="55" spans="2:12" s="26" customFormat="1" x14ac:dyDescent="0.3">
      <c r="B55" s="12"/>
      <c r="C55" s="12" t="s">
        <v>91</v>
      </c>
      <c r="D55" s="17">
        <f>D36*D50</f>
        <v>2276.96</v>
      </c>
      <c r="E55" s="12" t="s">
        <v>77</v>
      </c>
      <c r="F55" s="14"/>
      <c r="G55" s="12"/>
      <c r="H55" s="5"/>
      <c r="I55" s="5"/>
      <c r="J55" s="5"/>
      <c r="K55" s="5"/>
      <c r="L55" s="12"/>
    </row>
    <row r="56" spans="2:12" s="26" customFormat="1" x14ac:dyDescent="0.3">
      <c r="B56" s="12"/>
      <c r="C56" s="12" t="s">
        <v>92</v>
      </c>
      <c r="D56" s="17">
        <f>D38*D51</f>
        <v>2272.8971962616824</v>
      </c>
      <c r="E56" s="12" t="s">
        <v>77</v>
      </c>
      <c r="F56" s="14"/>
      <c r="G56" s="12"/>
      <c r="H56" s="5"/>
      <c r="I56" s="5"/>
      <c r="J56" s="5"/>
      <c r="K56" s="5"/>
      <c r="L56" s="12"/>
    </row>
    <row r="57" spans="2:12" s="26" customFormat="1" x14ac:dyDescent="0.3">
      <c r="B57" s="12"/>
      <c r="C57" s="31" t="s">
        <v>117</v>
      </c>
      <c r="D57" s="36">
        <f>D52*D40</f>
        <v>5204.4800000000005</v>
      </c>
      <c r="E57" s="12" t="s">
        <v>77</v>
      </c>
      <c r="F57" s="14"/>
      <c r="G57" s="12"/>
      <c r="H57" s="5"/>
      <c r="I57" s="5"/>
      <c r="J57" s="5"/>
      <c r="K57" s="5"/>
      <c r="L57" s="12"/>
    </row>
    <row r="58" spans="2:12" s="26" customFormat="1" x14ac:dyDescent="0.3">
      <c r="B58" s="12"/>
      <c r="C58" s="12" t="s">
        <v>89</v>
      </c>
      <c r="D58" s="17">
        <f>SUM(D54:D57)</f>
        <v>99271.393196261692</v>
      </c>
      <c r="E58" s="12" t="s">
        <v>77</v>
      </c>
      <c r="F58" s="14"/>
      <c r="G58" s="12"/>
      <c r="H58" s="5"/>
      <c r="I58" s="5"/>
      <c r="J58" s="5"/>
      <c r="K58" s="5"/>
      <c r="L58" s="12"/>
    </row>
    <row r="59" spans="2:12" s="26" customFormat="1" x14ac:dyDescent="0.3">
      <c r="B59" s="12"/>
      <c r="C59" s="12" t="s">
        <v>96</v>
      </c>
      <c r="D59" s="36">
        <f>D58*0.15</f>
        <v>14890.708979439252</v>
      </c>
      <c r="E59" s="12" t="s">
        <v>45</v>
      </c>
      <c r="F59" s="14"/>
      <c r="G59" s="12"/>
      <c r="H59" s="5"/>
      <c r="I59" s="5"/>
      <c r="J59" s="5"/>
      <c r="K59" s="5"/>
      <c r="L59" s="12"/>
    </row>
    <row r="60" spans="2:12" s="26" customFormat="1" x14ac:dyDescent="0.3">
      <c r="B60" s="12"/>
      <c r="C60" s="12" t="s">
        <v>93</v>
      </c>
      <c r="D60" s="17">
        <f>D58+D59</f>
        <v>114162.10217570094</v>
      </c>
      <c r="E60" s="12" t="s">
        <v>76</v>
      </c>
      <c r="F60" s="14"/>
      <c r="G60" s="12"/>
      <c r="H60" s="5"/>
      <c r="I60" s="5"/>
      <c r="J60" s="5"/>
      <c r="K60" s="5"/>
      <c r="L60" s="12"/>
    </row>
    <row r="61" spans="2:12" x14ac:dyDescent="0.3">
      <c r="G61" s="12"/>
      <c r="H61" s="5"/>
    </row>
    <row r="62" spans="2:12" x14ac:dyDescent="0.3">
      <c r="B62" s="5"/>
      <c r="C62" s="5" t="s">
        <v>47</v>
      </c>
      <c r="D62" s="15">
        <f>D60/F24</f>
        <v>2.4493469567317381</v>
      </c>
      <c r="E62" s="5" t="s">
        <v>4</v>
      </c>
      <c r="F62" s="8"/>
      <c r="G62" s="5"/>
      <c r="H62" s="5"/>
      <c r="L62" s="5"/>
    </row>
    <row r="63" spans="2:12" x14ac:dyDescent="0.3">
      <c r="B63" s="5"/>
      <c r="C63" s="5"/>
      <c r="D63" s="15"/>
      <c r="E63" s="5"/>
      <c r="F63" s="8"/>
      <c r="G63" s="5"/>
      <c r="H63" s="5"/>
      <c r="L63" s="5"/>
    </row>
    <row r="64" spans="2:12" x14ac:dyDescent="0.3">
      <c r="B64" s="12"/>
      <c r="C64" s="12" t="s">
        <v>79</v>
      </c>
      <c r="D64" s="17">
        <f>D42*D41</f>
        <v>0</v>
      </c>
      <c r="E64" s="12" t="s">
        <v>45</v>
      </c>
      <c r="F64" s="14"/>
      <c r="G64" s="12"/>
      <c r="H64" s="5"/>
      <c r="I64" s="5"/>
      <c r="J64" s="5"/>
      <c r="K64" s="5"/>
      <c r="L64" s="5"/>
    </row>
    <row r="65" spans="2:12" x14ac:dyDescent="0.3">
      <c r="B65" s="12"/>
      <c r="C65" s="12"/>
      <c r="E65" s="12"/>
      <c r="F65" s="14"/>
      <c r="G65" s="12"/>
      <c r="H65" s="5"/>
      <c r="I65" s="5"/>
      <c r="J65" s="5"/>
      <c r="K65" s="5"/>
      <c r="L65" s="5"/>
    </row>
    <row r="66" spans="2:12" x14ac:dyDescent="0.3">
      <c r="B66" s="12"/>
      <c r="C66" s="12" t="s">
        <v>46</v>
      </c>
      <c r="D66" s="16">
        <f>D60+D64</f>
        <v>114162.10217570094</v>
      </c>
      <c r="E66" s="12" t="s">
        <v>76</v>
      </c>
      <c r="F66" s="14"/>
      <c r="G66" s="12"/>
      <c r="H66" s="5"/>
      <c r="I66" s="5"/>
      <c r="J66" s="5"/>
      <c r="K66" s="5"/>
      <c r="L66" s="5"/>
    </row>
    <row r="67" spans="2:12" x14ac:dyDescent="0.3">
      <c r="G67" s="9" t="s">
        <v>68</v>
      </c>
    </row>
    <row r="68" spans="2:12" x14ac:dyDescent="0.3">
      <c r="B68" s="34" t="s">
        <v>49</v>
      </c>
      <c r="C68" s="57"/>
      <c r="D68" s="57"/>
      <c r="E68" s="57"/>
      <c r="F68" s="57"/>
      <c r="G68" s="57"/>
    </row>
    <row r="69" spans="2:12" x14ac:dyDescent="0.3">
      <c r="C69" s="55" t="s">
        <v>104</v>
      </c>
      <c r="D69" s="38">
        <v>140</v>
      </c>
      <c r="E69" s="1" t="s">
        <v>2</v>
      </c>
    </row>
    <row r="70" spans="2:12" x14ac:dyDescent="0.3">
      <c r="C70" s="55" t="s">
        <v>41</v>
      </c>
      <c r="D70" s="38">
        <v>75</v>
      </c>
      <c r="E70" s="1" t="s">
        <v>2</v>
      </c>
    </row>
    <row r="71" spans="2:12" x14ac:dyDescent="0.3">
      <c r="C71" s="54"/>
      <c r="D71" s="33"/>
      <c r="H71" s="45"/>
    </row>
    <row r="72" spans="2:12" x14ac:dyDescent="0.3">
      <c r="C72" s="20" t="s">
        <v>31</v>
      </c>
      <c r="D72" s="38">
        <f>D54*D69</f>
        <v>12532387.840000002</v>
      </c>
      <c r="E72" s="42">
        <f>D72/D76</f>
        <v>0.94187818628267617</v>
      </c>
      <c r="H72" s="45"/>
    </row>
    <row r="73" spans="2:12" x14ac:dyDescent="0.3">
      <c r="C73" s="20" t="s">
        <v>86</v>
      </c>
      <c r="D73" s="40">
        <f>D55*D69</f>
        <v>318774.40000000002</v>
      </c>
      <c r="E73" s="42">
        <f>D73/D76</f>
        <v>2.3957657354573884E-2</v>
      </c>
    </row>
    <row r="74" spans="2:12" x14ac:dyDescent="0.3">
      <c r="C74" s="20" t="s">
        <v>82</v>
      </c>
      <c r="D74" s="40">
        <f>D56*200</f>
        <v>454579.43925233651</v>
      </c>
      <c r="E74" s="42">
        <f>D74/D76</f>
        <v>3.4164156362749991E-2</v>
      </c>
    </row>
    <row r="75" spans="2:12" x14ac:dyDescent="0.3">
      <c r="C75" s="1" t="s">
        <v>80</v>
      </c>
      <c r="D75" s="40">
        <f>D64*D70</f>
        <v>0</v>
      </c>
      <c r="E75" s="42">
        <f>D75/D76</f>
        <v>0</v>
      </c>
    </row>
    <row r="76" spans="2:12" x14ac:dyDescent="0.3">
      <c r="C76" s="20" t="s">
        <v>125</v>
      </c>
      <c r="D76" s="39">
        <f>SUM(D72:D75)</f>
        <v>13305741.679252338</v>
      </c>
      <c r="E76" s="20">
        <v>1</v>
      </c>
    </row>
    <row r="77" spans="2:12" x14ac:dyDescent="0.3">
      <c r="C77" s="20" t="s">
        <v>126</v>
      </c>
      <c r="D77" s="38">
        <f>(IF(D27&lt;=1,(D76-D25+D27),D27)*0.3)</f>
        <v>3800292.8037757012</v>
      </c>
      <c r="E77" s="20"/>
    </row>
    <row r="78" spans="2:12" x14ac:dyDescent="0.3">
      <c r="C78" s="20" t="s">
        <v>81</v>
      </c>
      <c r="D78" s="39">
        <f>D76+D77</f>
        <v>17106034.483028039</v>
      </c>
      <c r="H78" s="5"/>
      <c r="I78" s="72"/>
      <c r="J78" s="72"/>
      <c r="K78" s="5"/>
    </row>
    <row r="79" spans="2:12" x14ac:dyDescent="0.3">
      <c r="G79" s="9" t="s">
        <v>68</v>
      </c>
    </row>
    <row r="80" spans="2:12" x14ac:dyDescent="0.3">
      <c r="B80" s="34" t="s">
        <v>30</v>
      </c>
      <c r="C80" s="35"/>
      <c r="D80" s="37"/>
      <c r="E80" s="35"/>
      <c r="F80" s="57"/>
      <c r="G80" s="57"/>
      <c r="H80" s="5"/>
      <c r="I80" s="72"/>
      <c r="J80" s="72"/>
      <c r="K80" s="5"/>
      <c r="L80" s="5"/>
    </row>
    <row r="81" spans="2:12" x14ac:dyDescent="0.3">
      <c r="B81" s="3"/>
      <c r="C81" s="5" t="s">
        <v>60</v>
      </c>
      <c r="D81" s="14">
        <f>((D82*40)+(D83*60))/100</f>
        <v>1251</v>
      </c>
      <c r="E81" s="5" t="s">
        <v>24</v>
      </c>
      <c r="H81" s="5"/>
      <c r="I81" s="72"/>
      <c r="J81" s="72"/>
      <c r="K81" s="5"/>
      <c r="L81" s="5"/>
    </row>
    <row r="82" spans="2:12" x14ac:dyDescent="0.3">
      <c r="B82" s="3"/>
      <c r="C82" s="12" t="s">
        <v>120</v>
      </c>
      <c r="D82" s="14">
        <v>900</v>
      </c>
      <c r="E82" s="5" t="s">
        <v>24</v>
      </c>
      <c r="H82" s="5"/>
      <c r="I82" s="72"/>
      <c r="J82" s="72"/>
      <c r="K82" s="5"/>
      <c r="L82" s="5"/>
    </row>
    <row r="83" spans="2:12" x14ac:dyDescent="0.3">
      <c r="B83" s="3"/>
      <c r="C83" s="12" t="s">
        <v>121</v>
      </c>
      <c r="D83" s="14">
        <v>1485</v>
      </c>
      <c r="E83" s="5" t="s">
        <v>24</v>
      </c>
      <c r="H83" s="5"/>
      <c r="I83" s="72"/>
      <c r="J83" s="72"/>
      <c r="K83" s="5"/>
      <c r="L83" s="5"/>
    </row>
    <row r="84" spans="2:12" x14ac:dyDescent="0.3">
      <c r="B84" s="3"/>
      <c r="C84" s="5" t="s">
        <v>87</v>
      </c>
      <c r="D84" s="14">
        <f>D50*27/12</f>
        <v>684</v>
      </c>
      <c r="E84" s="5" t="s">
        <v>24</v>
      </c>
      <c r="L84" s="5"/>
    </row>
    <row r="85" spans="2:12" x14ac:dyDescent="0.3">
      <c r="B85" s="3"/>
      <c r="C85" s="5" t="s">
        <v>131</v>
      </c>
      <c r="D85" s="14">
        <f>D51*20/12</f>
        <v>2026.6666666666667</v>
      </c>
      <c r="E85" s="5" t="s">
        <v>24</v>
      </c>
      <c r="L85" s="5"/>
    </row>
    <row r="86" spans="2:12" x14ac:dyDescent="0.3">
      <c r="B86" s="3"/>
      <c r="C86" s="5" t="s">
        <v>118</v>
      </c>
      <c r="D86" s="14">
        <f>D51*24/12</f>
        <v>2432</v>
      </c>
      <c r="E86" s="5" t="s">
        <v>24</v>
      </c>
      <c r="L86" s="5"/>
    </row>
    <row r="87" spans="2:12" x14ac:dyDescent="0.3">
      <c r="B87" s="3"/>
      <c r="C87" s="5" t="s">
        <v>53</v>
      </c>
      <c r="D87" s="14">
        <v>150</v>
      </c>
      <c r="E87" s="5" t="s">
        <v>24</v>
      </c>
      <c r="H87" s="5"/>
      <c r="I87" s="72"/>
      <c r="J87" s="72"/>
      <c r="K87" s="5"/>
      <c r="L87" s="5"/>
    </row>
    <row r="88" spans="2:12" x14ac:dyDescent="0.3">
      <c r="B88" s="3"/>
      <c r="C88" s="5"/>
      <c r="D88" s="14"/>
      <c r="E88" s="5"/>
      <c r="H88" s="5"/>
      <c r="I88" s="5"/>
      <c r="J88" s="5"/>
      <c r="K88" s="5"/>
      <c r="L88" s="5"/>
    </row>
    <row r="89" spans="2:12" x14ac:dyDescent="0.3">
      <c r="B89" s="12"/>
      <c r="C89" s="31" t="s">
        <v>29</v>
      </c>
      <c r="D89" s="14">
        <f>(D33*D81)</f>
        <v>230234.04000000004</v>
      </c>
      <c r="E89" s="24" t="s">
        <v>12</v>
      </c>
      <c r="F89" s="1" t="s">
        <v>64</v>
      </c>
      <c r="H89" s="5"/>
      <c r="I89" s="5"/>
      <c r="J89" s="5"/>
      <c r="K89" s="5"/>
      <c r="L89" s="5"/>
    </row>
    <row r="90" spans="2:12" x14ac:dyDescent="0.3">
      <c r="B90" s="12"/>
      <c r="C90" s="31" t="s">
        <v>105</v>
      </c>
      <c r="D90" s="14">
        <f>D36*D84</f>
        <v>5123.16</v>
      </c>
      <c r="E90" s="24" t="s">
        <v>12</v>
      </c>
      <c r="F90" s="1" t="s">
        <v>63</v>
      </c>
      <c r="H90" s="5"/>
      <c r="I90" s="5"/>
      <c r="J90" s="5"/>
      <c r="K90" s="5"/>
      <c r="L90" s="5"/>
    </row>
    <row r="91" spans="2:12" x14ac:dyDescent="0.3">
      <c r="B91" s="12"/>
      <c r="C91" s="31" t="s">
        <v>83</v>
      </c>
      <c r="D91" s="14">
        <f>D85*D38</f>
        <v>3788.1619937694704</v>
      </c>
      <c r="E91" s="24" t="s">
        <v>12</v>
      </c>
      <c r="F91" s="1" t="s">
        <v>62</v>
      </c>
      <c r="H91" s="5"/>
      <c r="I91" s="5"/>
      <c r="J91" s="5"/>
      <c r="K91" s="5"/>
      <c r="L91" s="5"/>
    </row>
    <row r="92" spans="2:12" x14ac:dyDescent="0.3">
      <c r="B92" s="12"/>
      <c r="C92" s="31" t="s">
        <v>119</v>
      </c>
      <c r="D92" s="14">
        <f>D86*D38</f>
        <v>4545.7943925233649</v>
      </c>
      <c r="E92" s="24" t="s">
        <v>12</v>
      </c>
      <c r="F92" s="1" t="s">
        <v>62</v>
      </c>
      <c r="H92" s="5"/>
      <c r="I92" s="5"/>
      <c r="J92" s="5"/>
      <c r="K92" s="5"/>
      <c r="L92" s="5"/>
    </row>
    <row r="93" spans="2:12" x14ac:dyDescent="0.3">
      <c r="B93" s="12"/>
      <c r="C93" s="31" t="s">
        <v>28</v>
      </c>
      <c r="D93" s="14">
        <f>D42*D87</f>
        <v>0</v>
      </c>
      <c r="E93" s="24" t="s">
        <v>12</v>
      </c>
      <c r="F93" s="1" t="s">
        <v>27</v>
      </c>
      <c r="H93" s="12"/>
      <c r="I93" s="12"/>
      <c r="J93" s="12"/>
      <c r="K93" s="12"/>
      <c r="L93" s="5"/>
    </row>
    <row r="94" spans="2:12" x14ac:dyDescent="0.3">
      <c r="B94" s="12"/>
      <c r="C94" s="31" t="s">
        <v>84</v>
      </c>
      <c r="D94" s="11">
        <f>SUM(D89:D93)</f>
        <v>243691.15638629286</v>
      </c>
      <c r="E94" s="24" t="s">
        <v>12</v>
      </c>
      <c r="F94" s="1" t="s">
        <v>48</v>
      </c>
      <c r="H94" s="5"/>
      <c r="I94" s="5"/>
      <c r="J94" s="30"/>
      <c r="K94" s="5"/>
      <c r="L94" s="5"/>
    </row>
    <row r="95" spans="2:12" s="26" customFormat="1" x14ac:dyDescent="0.3">
      <c r="B95" s="12"/>
      <c r="C95" s="31"/>
      <c r="E95" s="12"/>
      <c r="F95" s="1"/>
      <c r="G95" s="1"/>
      <c r="H95" s="5"/>
      <c r="I95" s="5"/>
      <c r="J95" s="30"/>
      <c r="K95" s="5"/>
      <c r="L95" s="12"/>
    </row>
    <row r="96" spans="2:12" x14ac:dyDescent="0.3">
      <c r="B96" s="5"/>
      <c r="C96" s="5" t="s">
        <v>26</v>
      </c>
      <c r="D96" s="40">
        <f>0.08*D94*(-1)</f>
        <v>-19495.29251090343</v>
      </c>
      <c r="E96" s="5" t="s">
        <v>13</v>
      </c>
      <c r="H96" s="5"/>
      <c r="I96" s="5"/>
      <c r="J96" s="30"/>
      <c r="K96" s="5"/>
      <c r="L96" s="5"/>
    </row>
    <row r="97" spans="2:12" x14ac:dyDescent="0.3">
      <c r="B97" s="5"/>
      <c r="C97" s="5" t="s">
        <v>55</v>
      </c>
      <c r="D97" s="39">
        <f>D89+D90+D96</f>
        <v>215861.9074890966</v>
      </c>
      <c r="E97" s="9" t="s">
        <v>14</v>
      </c>
      <c r="F97" s="1" t="s">
        <v>24</v>
      </c>
      <c r="H97" s="5"/>
      <c r="I97" s="5"/>
      <c r="J97" s="30"/>
      <c r="K97" s="5"/>
      <c r="L97" s="5"/>
    </row>
    <row r="98" spans="2:12" x14ac:dyDescent="0.3">
      <c r="B98" s="5"/>
      <c r="C98" s="5"/>
      <c r="D98" s="38"/>
      <c r="E98" s="9"/>
      <c r="H98" s="5"/>
      <c r="I98" s="5"/>
      <c r="J98" s="30"/>
      <c r="K98" s="5"/>
      <c r="L98" s="5"/>
    </row>
    <row r="99" spans="2:12" x14ac:dyDescent="0.3">
      <c r="B99" s="5"/>
      <c r="C99" s="13" t="s">
        <v>132</v>
      </c>
      <c r="D99" s="40">
        <f>(D97*0.35)*(-1)</f>
        <v>-75551.667621183806</v>
      </c>
      <c r="E99" s="9"/>
      <c r="H99" s="5"/>
      <c r="I99" s="5"/>
      <c r="J99" s="30"/>
      <c r="K99" s="5"/>
      <c r="L99" s="5"/>
    </row>
    <row r="100" spans="2:12" x14ac:dyDescent="0.3">
      <c r="B100" s="5"/>
      <c r="C100" s="5" t="s">
        <v>35</v>
      </c>
      <c r="D100" s="58">
        <f>D97+D99</f>
        <v>140310.23986791278</v>
      </c>
      <c r="E100" s="9" t="s">
        <v>15</v>
      </c>
      <c r="F100" s="1" t="s">
        <v>24</v>
      </c>
      <c r="H100" s="5"/>
      <c r="I100" s="5"/>
      <c r="J100" s="30"/>
      <c r="K100" s="5"/>
      <c r="L100" s="5"/>
    </row>
    <row r="101" spans="2:12" x14ac:dyDescent="0.3">
      <c r="B101" s="5"/>
      <c r="C101" s="5"/>
      <c r="D101" s="18"/>
      <c r="E101" s="5"/>
      <c r="F101" s="5"/>
      <c r="G101" s="9" t="s">
        <v>68</v>
      </c>
      <c r="H101" s="5"/>
      <c r="I101" s="5"/>
      <c r="J101" s="30"/>
      <c r="K101" s="5"/>
      <c r="L101" s="5"/>
    </row>
    <row r="102" spans="2:12" x14ac:dyDescent="0.3">
      <c r="B102" s="34" t="s">
        <v>37</v>
      </c>
      <c r="C102" s="35"/>
      <c r="D102" s="59"/>
      <c r="E102" s="35"/>
      <c r="F102" s="35"/>
      <c r="G102" s="35"/>
      <c r="H102" s="5"/>
      <c r="I102" s="5"/>
      <c r="J102" s="30"/>
      <c r="K102" s="5"/>
      <c r="L102" s="5"/>
    </row>
    <row r="103" spans="2:12" x14ac:dyDescent="0.3">
      <c r="B103" s="62"/>
      <c r="C103" s="9" t="s">
        <v>39</v>
      </c>
      <c r="D103" s="14">
        <f>D100</f>
        <v>140310.23986791278</v>
      </c>
      <c r="E103" s="12" t="s">
        <v>24</v>
      </c>
      <c r="F103" s="12"/>
      <c r="G103" s="12"/>
      <c r="H103" s="5"/>
      <c r="I103" s="5"/>
      <c r="J103" s="30"/>
      <c r="K103" s="5"/>
      <c r="L103" s="5"/>
    </row>
    <row r="104" spans="2:12" x14ac:dyDescent="0.3">
      <c r="B104" s="62"/>
      <c r="C104" s="12"/>
      <c r="D104" s="28"/>
      <c r="E104" s="12"/>
      <c r="H104" s="5"/>
      <c r="I104" s="5"/>
      <c r="J104" s="30"/>
      <c r="K104" s="5"/>
      <c r="L104" s="5"/>
    </row>
    <row r="105" spans="2:12" x14ac:dyDescent="0.3">
      <c r="B105" s="12"/>
      <c r="C105" s="24" t="s">
        <v>18</v>
      </c>
      <c r="D105" s="40">
        <f>D78</f>
        <v>17106034.483028039</v>
      </c>
      <c r="E105" s="12"/>
      <c r="F105" s="5"/>
      <c r="G105" s="5"/>
      <c r="H105" s="5"/>
      <c r="I105" s="5"/>
      <c r="J105" s="30"/>
      <c r="K105" s="5"/>
      <c r="L105" s="5"/>
    </row>
    <row r="106" spans="2:12" x14ac:dyDescent="0.3">
      <c r="B106" s="5"/>
      <c r="C106" s="9" t="s">
        <v>19</v>
      </c>
      <c r="D106" s="60">
        <f>D105*0.3</f>
        <v>5131810.3449084116</v>
      </c>
      <c r="E106" s="5"/>
      <c r="F106" s="5"/>
      <c r="G106" s="5"/>
      <c r="H106" s="5"/>
      <c r="I106" s="5"/>
      <c r="J106" s="30"/>
      <c r="K106" s="5"/>
      <c r="L106" s="5"/>
    </row>
    <row r="107" spans="2:12" x14ac:dyDescent="0.3">
      <c r="B107" s="5"/>
      <c r="C107" s="9" t="s">
        <v>50</v>
      </c>
      <c r="D107" s="11">
        <f>D105*0.7</f>
        <v>11974224.138119627</v>
      </c>
      <c r="E107" s="5"/>
      <c r="F107" s="5">
        <v>25</v>
      </c>
      <c r="G107" s="5" t="s">
        <v>16</v>
      </c>
      <c r="H107" s="5"/>
      <c r="I107" s="5"/>
      <c r="J107" s="30"/>
      <c r="K107" s="5"/>
      <c r="L107" s="5"/>
    </row>
    <row r="108" spans="2:12" x14ac:dyDescent="0.3">
      <c r="B108" s="5"/>
      <c r="C108" s="5"/>
      <c r="D108" s="18"/>
      <c r="E108" s="5"/>
      <c r="F108" s="18">
        <v>3.0099999999999998E-2</v>
      </c>
      <c r="G108" s="5" t="s">
        <v>8</v>
      </c>
      <c r="H108" s="5"/>
      <c r="I108" s="5"/>
      <c r="J108" s="30"/>
      <c r="K108" s="5"/>
      <c r="L108" s="5"/>
    </row>
    <row r="109" spans="2:12" x14ac:dyDescent="0.3">
      <c r="B109" s="5"/>
      <c r="C109" s="9" t="s">
        <v>38</v>
      </c>
      <c r="D109" s="60">
        <f>PMT(F108/12,(F107*12),D107,0)</f>
        <v>-56845.425578672774</v>
      </c>
      <c r="E109" s="5" t="s">
        <v>24</v>
      </c>
      <c r="F109" s="18">
        <f>(D117/D107)*(-1)</f>
        <v>5.6967791739631984E-2</v>
      </c>
      <c r="G109" s="5" t="s">
        <v>6</v>
      </c>
      <c r="H109" s="5"/>
      <c r="I109" s="5"/>
      <c r="J109" s="30"/>
      <c r="K109" s="5"/>
      <c r="L109" s="5"/>
    </row>
    <row r="110" spans="2:12" x14ac:dyDescent="0.3">
      <c r="B110" s="5"/>
      <c r="C110" s="9"/>
      <c r="D110" s="60"/>
      <c r="E110" s="5"/>
      <c r="F110" s="18"/>
      <c r="G110" s="9" t="s">
        <v>68</v>
      </c>
      <c r="H110" s="5"/>
      <c r="I110" s="5"/>
      <c r="J110" s="30"/>
      <c r="K110" s="5"/>
      <c r="L110" s="5"/>
    </row>
    <row r="111" spans="2:12" x14ac:dyDescent="0.3">
      <c r="B111" s="34" t="s">
        <v>36</v>
      </c>
      <c r="C111" s="5"/>
      <c r="D111" s="13"/>
      <c r="E111" s="5"/>
      <c r="F111" s="5"/>
      <c r="G111" s="5"/>
      <c r="H111" s="5"/>
      <c r="I111" s="5"/>
      <c r="J111" s="30"/>
      <c r="K111" s="5"/>
      <c r="L111" s="5"/>
    </row>
    <row r="112" spans="2:12" x14ac:dyDescent="0.3">
      <c r="B112" s="22"/>
      <c r="C112" s="43" t="s">
        <v>40</v>
      </c>
      <c r="D112" s="23">
        <f>D100*12</f>
        <v>1683722.8784149534</v>
      </c>
      <c r="E112" s="22" t="s">
        <v>51</v>
      </c>
      <c r="F112" s="22"/>
      <c r="G112" s="22"/>
      <c r="H112" s="5"/>
      <c r="I112" s="5"/>
      <c r="J112" s="30"/>
      <c r="K112" s="5"/>
      <c r="L112" s="5"/>
    </row>
    <row r="113" spans="2:12" x14ac:dyDescent="0.3">
      <c r="B113" s="5"/>
      <c r="C113" s="9" t="s">
        <v>3</v>
      </c>
      <c r="D113" s="19"/>
      <c r="E113" s="5"/>
      <c r="F113" s="67">
        <f>D100/D78*12</f>
        <v>9.8428591388932341E-2</v>
      </c>
      <c r="G113" s="5" t="s">
        <v>3</v>
      </c>
      <c r="H113" s="5"/>
      <c r="I113" s="5"/>
      <c r="J113" s="30"/>
      <c r="K113" s="5"/>
      <c r="L113" s="5"/>
    </row>
    <row r="114" spans="2:12" x14ac:dyDescent="0.3">
      <c r="B114" s="12"/>
      <c r="C114" s="24"/>
      <c r="D114" s="27"/>
      <c r="E114" s="12"/>
      <c r="F114" s="12"/>
      <c r="G114" s="12"/>
      <c r="H114" s="5"/>
      <c r="I114" s="5"/>
      <c r="J114" s="30"/>
      <c r="K114" s="5"/>
      <c r="L114" s="5"/>
    </row>
    <row r="115" spans="2:12" x14ac:dyDescent="0.3">
      <c r="B115" s="26"/>
      <c r="C115" s="24" t="s">
        <v>34</v>
      </c>
      <c r="F115" s="70">
        <f>D120/D106</f>
        <v>0.19517045723729984</v>
      </c>
      <c r="G115" s="12" t="s">
        <v>34</v>
      </c>
      <c r="H115" s="5"/>
      <c r="I115" s="5"/>
      <c r="J115" s="30"/>
      <c r="K115" s="5"/>
      <c r="L115" s="5"/>
    </row>
    <row r="116" spans="2:12" x14ac:dyDescent="0.3">
      <c r="B116" s="12"/>
      <c r="C116" s="24"/>
      <c r="D116" s="27"/>
      <c r="E116" s="12"/>
      <c r="F116" s="12"/>
      <c r="G116" s="12"/>
      <c r="H116" s="5"/>
      <c r="I116" s="5"/>
      <c r="J116" s="30"/>
      <c r="K116" s="5"/>
      <c r="L116" s="5"/>
    </row>
    <row r="117" spans="2:12" x14ac:dyDescent="0.3">
      <c r="B117" s="5"/>
      <c r="C117" s="9" t="s">
        <v>7</v>
      </c>
      <c r="D117" s="68">
        <f>D109*12</f>
        <v>-682145.10694407322</v>
      </c>
      <c r="E117" s="5" t="s">
        <v>51</v>
      </c>
      <c r="F117" s="21">
        <f>(D112/D117)*(-1)</f>
        <v>2.4682767072211749</v>
      </c>
      <c r="G117" s="79" t="s">
        <v>54</v>
      </c>
      <c r="H117" s="5"/>
      <c r="I117" s="5"/>
      <c r="J117" s="30"/>
      <c r="K117" s="5"/>
      <c r="L117" s="5"/>
    </row>
    <row r="118" spans="2:12" x14ac:dyDescent="0.3">
      <c r="B118" s="5"/>
      <c r="C118" s="9"/>
      <c r="D118" s="66"/>
      <c r="E118" s="5"/>
      <c r="F118" s="21"/>
      <c r="G118" s="78"/>
      <c r="H118" s="5"/>
      <c r="I118" s="5"/>
      <c r="J118" s="30"/>
      <c r="K118" s="5"/>
      <c r="L118" s="5"/>
    </row>
    <row r="119" spans="2:12" x14ac:dyDescent="0.3">
      <c r="B119" s="63" t="s">
        <v>42</v>
      </c>
      <c r="C119" s="9"/>
      <c r="D119" s="19"/>
      <c r="E119" s="5"/>
      <c r="F119" s="5"/>
      <c r="G119" s="75"/>
      <c r="H119" s="5"/>
      <c r="I119" s="5"/>
      <c r="J119" s="30"/>
      <c r="K119" s="5"/>
      <c r="L119" s="5"/>
    </row>
    <row r="120" spans="2:12" x14ac:dyDescent="0.3">
      <c r="B120" s="25"/>
      <c r="C120" s="64" t="s">
        <v>43</v>
      </c>
      <c r="D120" s="61">
        <f>D112+D117</f>
        <v>1001577.7714708801</v>
      </c>
      <c r="E120" s="22" t="s">
        <v>51</v>
      </c>
      <c r="F120" s="69">
        <f>D120/D106</f>
        <v>0.19517045723729984</v>
      </c>
      <c r="G120" s="22" t="s">
        <v>20</v>
      </c>
      <c r="H120" s="5"/>
      <c r="I120" s="5"/>
      <c r="J120" s="30"/>
      <c r="K120" s="5"/>
      <c r="L120" s="5"/>
    </row>
    <row r="121" spans="2:12" x14ac:dyDescent="0.3">
      <c r="B121" s="26"/>
      <c r="C121" s="65"/>
      <c r="D121" s="27"/>
      <c r="E121" s="12"/>
      <c r="F121" s="28"/>
      <c r="G121" s="12"/>
      <c r="H121" s="5"/>
      <c r="I121" s="5"/>
      <c r="J121" s="30"/>
      <c r="K121" s="5"/>
      <c r="L121" s="5"/>
    </row>
    <row r="122" spans="2:12" x14ac:dyDescent="0.3">
      <c r="B122" s="12"/>
      <c r="C122" s="24"/>
      <c r="D122" s="27"/>
      <c r="E122" s="12"/>
      <c r="F122" s="28"/>
      <c r="G122" s="12"/>
      <c r="H122" s="5"/>
      <c r="I122" s="5"/>
      <c r="J122" s="30"/>
      <c r="K122" s="5"/>
      <c r="L122" s="5"/>
    </row>
    <row r="123" spans="2:12" x14ac:dyDescent="0.3">
      <c r="C123" s="77" t="s">
        <v>52</v>
      </c>
      <c r="D123" s="27">
        <f>D76*0.75/27.5</f>
        <v>362883.86397960916</v>
      </c>
      <c r="E123" s="12"/>
      <c r="F123" s="28"/>
      <c r="H123" s="5"/>
      <c r="I123" s="5"/>
      <c r="J123" s="30"/>
      <c r="K123" s="5"/>
      <c r="L123" s="5"/>
    </row>
    <row r="124" spans="2:12" x14ac:dyDescent="0.3">
      <c r="B124" s="30"/>
      <c r="C124" s="78"/>
      <c r="D124" s="27"/>
      <c r="E124" s="12"/>
      <c r="F124" s="28"/>
      <c r="H124" s="5"/>
      <c r="I124" s="5"/>
      <c r="J124" s="30"/>
      <c r="K124" s="5"/>
      <c r="L124" s="5"/>
    </row>
    <row r="125" spans="2:12" x14ac:dyDescent="0.3">
      <c r="B125" s="5"/>
      <c r="C125" s="5"/>
      <c r="D125" s="18"/>
      <c r="E125" s="5"/>
      <c r="F125" s="5"/>
      <c r="G125" s="9" t="s">
        <v>68</v>
      </c>
      <c r="H125" s="5"/>
      <c r="I125" s="5"/>
      <c r="J125" s="30"/>
      <c r="K125" s="5"/>
      <c r="L125" s="5"/>
    </row>
    <row r="126" spans="2:12" x14ac:dyDescent="0.3">
      <c r="B126" s="5"/>
      <c r="C126" s="5"/>
      <c r="D126" s="18"/>
      <c r="E126" s="5"/>
      <c r="F126" s="5"/>
      <c r="G126" s="9"/>
      <c r="H126" s="5"/>
      <c r="I126" s="5"/>
      <c r="J126" s="30"/>
      <c r="K126" s="5"/>
      <c r="L126" s="5"/>
    </row>
    <row r="127" spans="2:12" x14ac:dyDescent="0.3">
      <c r="B127" s="5"/>
      <c r="C127" s="5"/>
      <c r="D127" s="18"/>
      <c r="E127" s="5"/>
      <c r="F127" s="5"/>
      <c r="G127" s="9"/>
      <c r="H127" s="5"/>
      <c r="I127" s="5"/>
      <c r="J127" s="30"/>
      <c r="K127" s="5"/>
      <c r="L127" s="5"/>
    </row>
    <row r="128" spans="2:12" x14ac:dyDescent="0.3">
      <c r="B128" s="5"/>
      <c r="C128" s="5"/>
      <c r="D128" s="18"/>
      <c r="E128" s="5"/>
      <c r="F128" s="5"/>
      <c r="G128" s="9"/>
      <c r="H128" s="5"/>
      <c r="I128" s="5"/>
      <c r="J128" s="30"/>
      <c r="K128" s="5"/>
      <c r="L128" s="5"/>
    </row>
    <row r="129" spans="2:12" x14ac:dyDescent="0.3">
      <c r="B129" s="5"/>
      <c r="C129" s="5"/>
      <c r="D129" s="18"/>
      <c r="E129" s="5"/>
      <c r="F129" s="5"/>
      <c r="G129" s="9"/>
      <c r="H129" s="5"/>
      <c r="I129" s="5"/>
      <c r="J129" s="30"/>
      <c r="K129" s="5"/>
      <c r="L129" s="5"/>
    </row>
    <row r="130" spans="2:12" x14ac:dyDescent="0.3">
      <c r="B130" s="5"/>
      <c r="C130" s="5"/>
      <c r="D130" s="18"/>
      <c r="E130" s="5"/>
      <c r="F130" s="5"/>
      <c r="G130" s="9"/>
      <c r="H130" s="5"/>
      <c r="I130" s="5"/>
      <c r="J130" s="30"/>
      <c r="K130" s="5"/>
      <c r="L130" s="5"/>
    </row>
    <row r="131" spans="2:12" x14ac:dyDescent="0.3">
      <c r="B131" s="5"/>
      <c r="C131" s="5"/>
      <c r="D131" s="18"/>
      <c r="E131" s="5"/>
      <c r="F131" s="5"/>
      <c r="G131" s="9"/>
      <c r="H131" s="5"/>
      <c r="I131" s="5"/>
      <c r="J131" s="30"/>
      <c r="K131" s="5"/>
      <c r="L131" s="5"/>
    </row>
    <row r="132" spans="2:12" x14ac:dyDescent="0.3">
      <c r="B132" s="5"/>
      <c r="C132" s="5"/>
      <c r="D132" s="18"/>
      <c r="E132" s="5"/>
      <c r="F132" s="5"/>
      <c r="G132" s="9"/>
      <c r="H132" s="5"/>
      <c r="I132" s="5"/>
      <c r="J132" s="30"/>
      <c r="K132" s="5"/>
      <c r="L132" s="5"/>
    </row>
    <row r="133" spans="2:12" x14ac:dyDescent="0.3">
      <c r="B133" s="5"/>
      <c r="C133" s="5"/>
      <c r="D133" s="18"/>
      <c r="E133" s="5"/>
      <c r="F133" s="5"/>
      <c r="G133" s="9"/>
      <c r="H133" s="5"/>
      <c r="I133" s="5"/>
      <c r="J133" s="30"/>
      <c r="K133" s="5"/>
      <c r="L133" s="5"/>
    </row>
    <row r="134" spans="2:12" x14ac:dyDescent="0.3">
      <c r="B134" s="5"/>
      <c r="C134" s="5"/>
      <c r="D134" s="18"/>
      <c r="E134" s="5"/>
      <c r="F134" s="5"/>
      <c r="G134" s="9"/>
      <c r="H134" s="5"/>
      <c r="I134" s="5"/>
      <c r="J134" s="30"/>
      <c r="K134" s="5"/>
      <c r="L134" s="5"/>
    </row>
    <row r="135" spans="2:12" x14ac:dyDescent="0.3">
      <c r="B135" s="5"/>
      <c r="C135" s="5"/>
      <c r="D135" s="18"/>
      <c r="E135" s="5"/>
      <c r="F135" s="5"/>
      <c r="G135" s="9"/>
      <c r="H135" s="5"/>
      <c r="I135" s="5"/>
      <c r="J135" s="30"/>
      <c r="K135" s="5"/>
      <c r="L135" s="5"/>
    </row>
    <row r="136" spans="2:12" x14ac:dyDescent="0.3">
      <c r="B136" s="5"/>
      <c r="C136" s="5"/>
      <c r="D136" s="18"/>
      <c r="E136" s="5"/>
      <c r="F136" s="5"/>
      <c r="G136" s="9"/>
      <c r="H136" s="5"/>
      <c r="I136" s="5"/>
      <c r="J136" s="30"/>
      <c r="K136" s="5"/>
      <c r="L136" s="5"/>
    </row>
    <row r="137" spans="2:12" x14ac:dyDescent="0.3">
      <c r="B137" s="5"/>
      <c r="C137" s="5"/>
      <c r="D137" s="18"/>
      <c r="E137" s="5"/>
      <c r="F137" s="5"/>
      <c r="G137" s="9"/>
      <c r="H137" s="5"/>
      <c r="I137" s="5"/>
      <c r="J137" s="30"/>
      <c r="K137" s="5"/>
      <c r="L137" s="5"/>
    </row>
    <row r="138" spans="2:12" x14ac:dyDescent="0.3">
      <c r="B138" s="5"/>
      <c r="C138" s="5"/>
      <c r="D138" s="18"/>
      <c r="E138" s="5"/>
      <c r="F138" s="5"/>
      <c r="G138" s="9"/>
      <c r="H138" s="5"/>
      <c r="I138" s="5"/>
      <c r="J138" s="30"/>
      <c r="K138" s="5"/>
      <c r="L138" s="5"/>
    </row>
    <row r="139" spans="2:12" x14ac:dyDescent="0.3">
      <c r="B139" s="5"/>
      <c r="C139" s="5"/>
      <c r="D139" s="18"/>
      <c r="E139" s="5"/>
      <c r="F139" s="5"/>
      <c r="G139" s="9"/>
      <c r="H139" s="5"/>
      <c r="I139" s="5"/>
      <c r="J139" s="30"/>
      <c r="K139" s="5"/>
      <c r="L139" s="5"/>
    </row>
    <row r="140" spans="2:12" x14ac:dyDescent="0.3">
      <c r="B140" s="5"/>
      <c r="C140" s="5"/>
      <c r="D140" s="18"/>
      <c r="E140" s="5"/>
      <c r="F140" s="5"/>
      <c r="G140" s="9"/>
      <c r="H140" s="5"/>
      <c r="I140" s="5"/>
      <c r="J140" s="30"/>
      <c r="K140" s="5"/>
      <c r="L140" s="5"/>
    </row>
    <row r="141" spans="2:12" x14ac:dyDescent="0.3">
      <c r="B141" s="5"/>
      <c r="C141" s="5"/>
      <c r="D141" s="18"/>
      <c r="E141" s="5"/>
      <c r="F141" s="5"/>
      <c r="G141" s="5"/>
      <c r="H141" s="5"/>
      <c r="I141" s="5"/>
      <c r="J141" s="30"/>
      <c r="K141" s="5"/>
      <c r="L141" s="5"/>
    </row>
    <row r="142" spans="2:12" x14ac:dyDescent="0.3">
      <c r="B142" s="5"/>
      <c r="C142" s="5"/>
      <c r="D142" s="18"/>
      <c r="E142" s="5"/>
      <c r="F142" s="5"/>
      <c r="G142" s="5"/>
      <c r="H142" s="5"/>
      <c r="I142" s="5"/>
      <c r="J142" s="30"/>
      <c r="K142" s="5"/>
      <c r="L142" s="5"/>
    </row>
    <row r="143" spans="2:12" x14ac:dyDescent="0.3">
      <c r="B143" s="5"/>
      <c r="C143" s="5"/>
      <c r="D143" s="18"/>
      <c r="E143" s="5"/>
      <c r="F143" s="5"/>
      <c r="G143" s="5"/>
      <c r="H143" s="5"/>
      <c r="I143" s="5"/>
      <c r="J143" s="30"/>
      <c r="K143" s="5"/>
      <c r="L143" s="5"/>
    </row>
    <row r="144" spans="2:12" x14ac:dyDescent="0.3">
      <c r="B144" s="5"/>
      <c r="C144" s="5"/>
      <c r="D144" s="18"/>
      <c r="E144" s="5"/>
      <c r="F144" s="5"/>
      <c r="G144" s="5"/>
      <c r="H144" s="5"/>
      <c r="I144" s="5"/>
      <c r="J144" s="30"/>
      <c r="K144" s="5"/>
      <c r="L144" s="5"/>
    </row>
    <row r="145" spans="2:12" x14ac:dyDescent="0.3">
      <c r="B145" s="5"/>
      <c r="C145" s="5"/>
      <c r="D145" s="18"/>
      <c r="E145" s="5"/>
      <c r="F145" s="5"/>
      <c r="G145" s="5"/>
      <c r="H145" s="5"/>
      <c r="I145" s="5"/>
      <c r="J145" s="30"/>
      <c r="K145" s="5"/>
      <c r="L145" s="5"/>
    </row>
    <row r="146" spans="2:12" x14ac:dyDescent="0.3">
      <c r="B146" s="5"/>
      <c r="C146" s="5"/>
      <c r="D146" s="18"/>
      <c r="E146" s="5"/>
      <c r="F146" s="5"/>
      <c r="G146" s="5"/>
      <c r="H146" s="5"/>
      <c r="I146" s="5"/>
      <c r="J146" s="30"/>
      <c r="K146" s="5"/>
      <c r="L146" s="5"/>
    </row>
    <row r="147" spans="2:12" x14ac:dyDescent="0.3">
      <c r="B147" s="5"/>
      <c r="C147" s="5"/>
      <c r="D147" s="18"/>
      <c r="E147" s="5"/>
      <c r="F147" s="5"/>
      <c r="G147" s="5"/>
      <c r="H147" s="5"/>
      <c r="I147" s="5"/>
      <c r="J147" s="30"/>
      <c r="K147" s="5"/>
      <c r="L147" s="5"/>
    </row>
    <row r="148" spans="2:12" x14ac:dyDescent="0.3">
      <c r="B148" s="5"/>
      <c r="C148" s="5"/>
      <c r="D148" s="18"/>
      <c r="E148" s="5"/>
      <c r="F148" s="5"/>
      <c r="G148" s="5"/>
      <c r="H148" s="5"/>
      <c r="I148" s="5"/>
      <c r="J148" s="30"/>
      <c r="K148" s="5"/>
      <c r="L148" s="5"/>
    </row>
    <row r="149" spans="2:12" x14ac:dyDescent="0.3">
      <c r="B149" s="5"/>
      <c r="C149" s="5"/>
      <c r="D149" s="18"/>
      <c r="E149" s="5"/>
      <c r="F149" s="5"/>
      <c r="G149" s="5"/>
      <c r="H149" s="5"/>
      <c r="I149" s="5"/>
      <c r="J149" s="30"/>
      <c r="K149" s="5"/>
      <c r="L149" s="5"/>
    </row>
    <row r="150" spans="2:12" x14ac:dyDescent="0.3">
      <c r="B150" s="5"/>
      <c r="C150" s="5"/>
      <c r="D150" s="18"/>
      <c r="E150" s="5"/>
      <c r="F150" s="5"/>
      <c r="G150" s="5"/>
      <c r="H150" s="5"/>
      <c r="I150" s="5"/>
      <c r="J150" s="30"/>
      <c r="K150" s="5"/>
      <c r="L150" s="5"/>
    </row>
    <row r="151" spans="2:12" x14ac:dyDescent="0.3">
      <c r="B151" s="5"/>
      <c r="C151" s="5"/>
      <c r="D151" s="18"/>
      <c r="E151" s="5"/>
      <c r="F151" s="5"/>
      <c r="G151" s="5"/>
      <c r="H151" s="5"/>
      <c r="I151" s="5"/>
      <c r="J151" s="30"/>
      <c r="K151" s="5"/>
      <c r="L151" s="5"/>
    </row>
    <row r="152" spans="2:12" x14ac:dyDescent="0.3">
      <c r="B152" s="12"/>
      <c r="C152" s="24"/>
      <c r="D152" s="27"/>
      <c r="E152" s="12"/>
      <c r="F152" s="28"/>
      <c r="G152" s="29"/>
      <c r="H152" s="5"/>
      <c r="I152" s="5"/>
      <c r="J152" s="30"/>
      <c r="K152" s="5"/>
      <c r="L152" s="5"/>
    </row>
    <row r="153" spans="2:12" x14ac:dyDescent="0.3">
      <c r="B153" s="12"/>
      <c r="C153" s="24"/>
      <c r="D153" s="27"/>
      <c r="E153" s="12"/>
      <c r="F153" s="28"/>
      <c r="G153" s="29"/>
      <c r="H153" s="5"/>
      <c r="I153" s="5"/>
      <c r="J153" s="30"/>
      <c r="K153" s="5"/>
      <c r="L153" s="5"/>
    </row>
    <row r="154" spans="2:12" x14ac:dyDescent="0.3">
      <c r="B154" s="12"/>
      <c r="C154" s="24"/>
      <c r="D154" s="27"/>
      <c r="E154" s="12"/>
      <c r="F154" s="28"/>
      <c r="G154" s="29"/>
      <c r="H154" s="5"/>
      <c r="I154" s="5"/>
      <c r="J154" s="30"/>
      <c r="K154" s="5"/>
      <c r="L154" s="5"/>
    </row>
    <row r="155" spans="2:12" x14ac:dyDescent="0.3">
      <c r="B155" s="12"/>
      <c r="C155" s="24"/>
      <c r="D155" s="27"/>
      <c r="E155" s="12"/>
      <c r="F155" s="28"/>
      <c r="G155" s="29"/>
      <c r="H155" s="5"/>
      <c r="I155" s="5"/>
      <c r="J155" s="30"/>
      <c r="K155" s="5"/>
      <c r="L155" s="5"/>
    </row>
    <row r="156" spans="2:12" x14ac:dyDescent="0.3">
      <c r="B156" s="3" t="s">
        <v>25</v>
      </c>
      <c r="C156" s="9"/>
      <c r="D156" s="19"/>
      <c r="E156" s="5"/>
      <c r="F156" s="5"/>
      <c r="G156" s="5"/>
      <c r="H156" s="5"/>
      <c r="I156" s="5"/>
      <c r="J156" s="5"/>
      <c r="K156" s="5"/>
      <c r="L156" s="5"/>
    </row>
    <row r="157" spans="2:12" x14ac:dyDescent="0.3">
      <c r="B157" s="41"/>
      <c r="C157" s="56" t="s">
        <v>123</v>
      </c>
      <c r="D157" s="23">
        <f>D78+D25</f>
        <v>17744134.483028039</v>
      </c>
      <c r="E157" s="22" t="s">
        <v>33</v>
      </c>
      <c r="F157" s="22"/>
      <c r="G157" s="22"/>
      <c r="H157" s="5"/>
      <c r="I157" s="5"/>
      <c r="J157" s="5"/>
      <c r="K157" s="5"/>
      <c r="L157" s="5"/>
    </row>
    <row r="158" spans="2:12" x14ac:dyDescent="0.3">
      <c r="B158" s="12"/>
      <c r="C158" s="12" t="s">
        <v>122</v>
      </c>
      <c r="D158" s="14">
        <f>D157*0.7*0.04298</f>
        <v>533850.03005638148</v>
      </c>
      <c r="E158" s="12" t="s">
        <v>32</v>
      </c>
      <c r="F158" s="12" t="s">
        <v>124</v>
      </c>
      <c r="G158" s="12"/>
      <c r="H158" s="13"/>
      <c r="I158" s="5"/>
      <c r="J158" s="30"/>
      <c r="K158" s="5"/>
      <c r="L158" s="5"/>
    </row>
    <row r="159" spans="2:12" x14ac:dyDescent="0.3">
      <c r="B159" s="5"/>
      <c r="C159" s="5" t="s">
        <v>21</v>
      </c>
      <c r="D159" s="8">
        <f>D158/D24</f>
        <v>498925.26173493592</v>
      </c>
      <c r="E159" s="5" t="s">
        <v>22</v>
      </c>
      <c r="F159" s="5"/>
      <c r="G159" s="5"/>
      <c r="H159" s="5"/>
      <c r="I159" s="5"/>
      <c r="J159" s="30"/>
      <c r="K159" s="5"/>
      <c r="L159" s="5"/>
    </row>
    <row r="160" spans="2:12" x14ac:dyDescent="0.3">
      <c r="B160" s="12"/>
      <c r="C160" s="24"/>
      <c r="D160" s="27"/>
      <c r="E160" s="12"/>
      <c r="F160" s="28"/>
      <c r="G160" s="12"/>
      <c r="H160" s="5"/>
      <c r="I160" s="5"/>
      <c r="J160" s="30"/>
      <c r="K160" s="5"/>
      <c r="L160" s="5"/>
    </row>
    <row r="161" spans="2:12" x14ac:dyDescent="0.3">
      <c r="B161" s="5"/>
      <c r="C161" s="5"/>
      <c r="D161" s="5"/>
      <c r="E161" s="5"/>
      <c r="F161" s="18"/>
      <c r="G161" s="9" t="s">
        <v>68</v>
      </c>
      <c r="H161" s="5"/>
      <c r="I161" s="5"/>
      <c r="J161" s="5"/>
      <c r="K161" s="5"/>
      <c r="L161" s="5"/>
    </row>
    <row r="162" spans="2:12" x14ac:dyDescent="0.3">
      <c r="B162" s="5"/>
      <c r="C162" s="5"/>
      <c r="D162" s="5"/>
      <c r="E162" s="5"/>
      <c r="F162" s="8"/>
      <c r="G162" s="5"/>
      <c r="H162" s="5"/>
      <c r="I162" s="5"/>
      <c r="J162" s="5"/>
      <c r="K162" s="5"/>
      <c r="L162" s="5"/>
    </row>
    <row r="163" spans="2:12" x14ac:dyDescent="0.3"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</row>
    <row r="164" spans="2:12" x14ac:dyDescent="0.3">
      <c r="B164" s="5"/>
      <c r="C164" s="5"/>
      <c r="D164" s="5"/>
      <c r="E164" s="5"/>
      <c r="F164" s="18"/>
      <c r="G164" s="5"/>
      <c r="H164" s="5"/>
      <c r="I164" s="5"/>
      <c r="J164" s="5"/>
      <c r="K164" s="5"/>
      <c r="L164" s="5"/>
    </row>
    <row r="165" spans="2:12" x14ac:dyDescent="0.3"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</row>
    <row r="166" spans="2:12" x14ac:dyDescent="0.3"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</row>
    <row r="167" spans="2:12" x14ac:dyDescent="0.3"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</row>
    <row r="168" spans="2:12" x14ac:dyDescent="0.3"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</row>
    <row r="169" spans="2:12" x14ac:dyDescent="0.3"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</row>
    <row r="170" spans="2:12" x14ac:dyDescent="0.3"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</row>
    <row r="171" spans="2:12" x14ac:dyDescent="0.3"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</row>
    <row r="172" spans="2:12" x14ac:dyDescent="0.3"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</row>
    <row r="173" spans="2:12" x14ac:dyDescent="0.3"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</row>
    <row r="174" spans="2:12" x14ac:dyDescent="0.3"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</row>
    <row r="175" spans="2:12" x14ac:dyDescent="0.3"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</row>
    <row r="176" spans="2:12" x14ac:dyDescent="0.3"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</row>
    <row r="177" spans="2:12" x14ac:dyDescent="0.3"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</row>
    <row r="178" spans="2:12" x14ac:dyDescent="0.3">
      <c r="B178" s="5"/>
      <c r="C178" s="5"/>
      <c r="D178" s="5"/>
      <c r="E178" s="5"/>
      <c r="F178" s="5"/>
      <c r="G178" s="5"/>
      <c r="L178" s="5"/>
    </row>
    <row r="179" spans="2:12" x14ac:dyDescent="0.3">
      <c r="B179" s="5"/>
      <c r="C179" s="5"/>
      <c r="D179" s="5"/>
      <c r="E179" s="5"/>
      <c r="F179" s="5"/>
      <c r="G179" s="5"/>
      <c r="L179" s="5"/>
    </row>
  </sheetData>
  <mergeCells count="4">
    <mergeCell ref="C123:C124"/>
    <mergeCell ref="G117:G118"/>
    <mergeCell ref="D15:F17"/>
    <mergeCell ref="C42:C44"/>
  </mergeCells>
  <phoneticPr fontId="5" type="noConversion"/>
  <printOptions horizontalCentered="1"/>
  <pageMargins left="0.7" right="0.7" top="0.5" bottom="0.6" header="0.3" footer="0.3"/>
  <pageSetup scale="54" fitToHeight="3" orientation="portrait" horizontalDpi="4294967292" verticalDpi="4294967292"/>
  <rowBreaks count="4" manualBreakCount="4">
    <brk id="63" max="16383" man="1"/>
    <brk id="139" max="16383" man="1"/>
    <brk id="140" max="16383" man="1"/>
    <brk id="177" max="16383" man="1"/>
  </rowBreaks>
  <drawing r:id="rId1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>Robert Orr &amp; Associates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Orr</dc:creator>
  <cp:lastModifiedBy>carol orr</cp:lastModifiedBy>
  <cp:lastPrinted>2021-01-10T18:52:51Z</cp:lastPrinted>
  <dcterms:created xsi:type="dcterms:W3CDTF">2016-08-19T16:35:20Z</dcterms:created>
  <dcterms:modified xsi:type="dcterms:W3CDTF">2021-01-13T23:43:17Z</dcterms:modified>
</cp:coreProperties>
</file>